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495" windowHeight="6825" activeTab="0"/>
  </bookViews>
  <sheets>
    <sheet name="ox scavenge Main" sheetId="1" r:id="rId1"/>
    <sheet name="free chlorine metabisulfite" sheetId="2" r:id="rId2"/>
    <sheet name="chloramine metabisulfite" sheetId="3" r:id="rId3"/>
    <sheet name="ox scavenge metsabisulfite" sheetId="4" r:id="rId4"/>
    <sheet name="ox scavenge ascorbic" sheetId="5" r:id="rId5"/>
    <sheet name="free chlorine ascorbic" sheetId="6" r:id="rId6"/>
    <sheet name="chloramine ascorbic" sheetId="7" r:id="rId7"/>
    <sheet name="free chlorine sulfite" sheetId="8" r:id="rId8"/>
    <sheet name="chloramine sulfite " sheetId="9" r:id="rId9"/>
    <sheet name="ox scavenge sulfite" sheetId="10" r:id="rId10"/>
    <sheet name="ox scavenge" sheetId="11" r:id="rId11"/>
    <sheet name="yeast_sugar_cht" sheetId="12" r:id="rId12"/>
    <sheet name="Yeast_Sugar" sheetId="13" r:id="rId13"/>
  </sheets>
  <definedNames/>
  <calcPr fullCalcOnLoad="1"/>
</workbook>
</file>

<file path=xl/sharedStrings.xml><?xml version="1.0" encoding="utf-8"?>
<sst xmlns="http://schemas.openxmlformats.org/spreadsheetml/2006/main" count="755" uniqueCount="186">
  <si>
    <t>Oxygen Scavengers</t>
  </si>
  <si>
    <t>sodium sulfite</t>
  </si>
  <si>
    <t>g/mol</t>
  </si>
  <si>
    <t>O2</t>
  </si>
  <si>
    <t>SO4</t>
  </si>
  <si>
    <t>gal =</t>
  </si>
  <si>
    <t>liters at</t>
  </si>
  <si>
    <t>mols =</t>
  </si>
  <si>
    <t>grams =</t>
  </si>
  <si>
    <t>lbs</t>
  </si>
  <si>
    <t>g sulfate =</t>
  </si>
  <si>
    <t>So in :</t>
  </si>
  <si>
    <t>Have :</t>
  </si>
  <si>
    <t>Need :</t>
  </si>
  <si>
    <t xml:space="preserve">Results in: </t>
  </si>
  <si>
    <t xml:space="preserve">mg/l </t>
  </si>
  <si>
    <t>sodium thiosulfate rxn rate is too slow</t>
  </si>
  <si>
    <t>fast rxn rate</t>
  </si>
  <si>
    <t>sulfate in injectate</t>
  </si>
  <si>
    <t xml:space="preserve">If you're injecting approximately </t>
  </si>
  <si>
    <t>of the pore volume, then you add</t>
  </si>
  <si>
    <t>Reaction rate of sodium sulfite should be less than 30 minutes.</t>
  </si>
  <si>
    <t>g/l =</t>
  </si>
  <si>
    <t>lb/gal</t>
  </si>
  <si>
    <t>Fe</t>
  </si>
  <si>
    <r>
      <t>2Fe</t>
    </r>
    <r>
      <rPr>
        <vertAlign val="superscript"/>
        <sz val="10"/>
        <rFont val="Arial"/>
        <family val="0"/>
      </rPr>
      <t>o</t>
    </r>
    <r>
      <rPr>
        <sz val="10"/>
        <rFont val="Arial"/>
        <family val="2"/>
      </rPr>
      <t xml:space="preserve"> + 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+ 2H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 --&gt; 2Fe(OH)</t>
    </r>
    <r>
      <rPr>
        <vertAlign val="subscript"/>
        <sz val="10"/>
        <rFont val="Arial"/>
        <family val="2"/>
      </rPr>
      <t>2</t>
    </r>
  </si>
  <si>
    <r>
      <t>2Na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SO</t>
    </r>
    <r>
      <rPr>
        <vertAlign val="subscript"/>
        <sz val="10"/>
        <rFont val="Arial"/>
        <family val="2"/>
      </rPr>
      <t>3</t>
    </r>
    <r>
      <rPr>
        <sz val="10"/>
        <rFont val="Arial"/>
        <family val="2"/>
      </rPr>
      <t xml:space="preserve"> + 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--&gt; 2 Na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SO</t>
    </r>
    <r>
      <rPr>
        <vertAlign val="subscript"/>
        <sz val="10"/>
        <rFont val="Arial"/>
        <family val="2"/>
      </rPr>
      <t>4</t>
    </r>
  </si>
  <si>
    <t>Zero Valent Iron</t>
  </si>
  <si>
    <r>
      <t>Na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SO</t>
    </r>
    <r>
      <rPr>
        <vertAlign val="subscript"/>
        <sz val="10"/>
        <rFont val="Arial"/>
        <family val="2"/>
      </rPr>
      <t>3</t>
    </r>
  </si>
  <si>
    <r>
      <t>sodium sulfate (Na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SO</t>
    </r>
    <r>
      <rPr>
        <vertAlign val="subscript"/>
        <sz val="10"/>
        <rFont val="Arial"/>
        <family val="2"/>
      </rPr>
      <t>4</t>
    </r>
    <r>
      <rPr>
        <sz val="10"/>
        <rFont val="Arial"/>
        <family val="2"/>
      </rPr>
      <t>) solubility =</t>
    </r>
  </si>
  <si>
    <r>
      <t>sodium sulfite (Na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SO</t>
    </r>
    <r>
      <rPr>
        <vertAlign val="subscript"/>
        <sz val="10"/>
        <rFont val="Arial"/>
        <family val="2"/>
      </rPr>
      <t>3</t>
    </r>
    <r>
      <rPr>
        <sz val="10"/>
        <rFont val="Arial"/>
        <family val="2"/>
      </rPr>
      <t>)  solubility =</t>
    </r>
  </si>
  <si>
    <t>For OBC+, use sodium sulfite with water first to remove oxygen, then add magnesium sulfate or other products.</t>
  </si>
  <si>
    <t>= Enter value</t>
  </si>
  <si>
    <t>= Calculated Result</t>
  </si>
  <si>
    <t>mg/l sulfate to the groundwater system.</t>
  </si>
  <si>
    <r>
      <t>mg 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=</t>
    </r>
  </si>
  <si>
    <r>
      <t>g 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=</t>
    </r>
  </si>
  <si>
    <r>
      <t>mg/l O</t>
    </r>
    <r>
      <rPr>
        <vertAlign val="subscript"/>
        <sz val="10"/>
        <rFont val="Arial"/>
        <family val="2"/>
      </rPr>
      <t>2</t>
    </r>
  </si>
  <si>
    <r>
      <t>mols O</t>
    </r>
    <r>
      <rPr>
        <vertAlign val="subscript"/>
        <sz val="10"/>
        <rFont val="Arial"/>
        <family val="2"/>
      </rPr>
      <t>2</t>
    </r>
  </si>
  <si>
    <t>zero valent iron</t>
  </si>
  <si>
    <t>Since it doesn't dissolve, need fine powder to disperse.</t>
  </si>
  <si>
    <t>This method doesn't work as well as sodium sulfite.</t>
  </si>
  <si>
    <t>Oxygen Solubility in Fresh Water</t>
  </si>
  <si>
    <t>Temp deg C</t>
  </si>
  <si>
    <t>Temp deg F</t>
  </si>
  <si>
    <t>d.o. mg/L</t>
  </si>
  <si>
    <t>sea level</t>
  </si>
  <si>
    <t>1000' above sea level</t>
  </si>
  <si>
    <t>Yeast and Sugar</t>
  </si>
  <si>
    <t>Water (gals)</t>
  </si>
  <si>
    <t>Sugar (lbs)</t>
  </si>
  <si>
    <t>Yeast (oz)</t>
  </si>
  <si>
    <t>Wesley Chapel</t>
  </si>
  <si>
    <t>sugar (lbs): water (gals)</t>
  </si>
  <si>
    <t>yeast (oz):sugar (lbs)</t>
  </si>
  <si>
    <t>Bench Study</t>
  </si>
  <si>
    <t>Myrtle Beach</t>
  </si>
  <si>
    <t>In Myrtle Beach, using old pillow tanks - needed 2 oz of yeast and 8 lbs sugar per 1000 gallons.</t>
  </si>
  <si>
    <t>In Wesley Chapel in 3000 gallon poly tanks - needed 16 oz of yeast and 100 lbs of sugar per 1000 gallons.</t>
  </si>
  <si>
    <t>In Lab Bench Study - needed 30 oz of yeast and 150 lbs of sugar per 1000 gallons.</t>
  </si>
  <si>
    <t>sugar (lbs)/water (gals)</t>
  </si>
  <si>
    <t>yeast (oz)/sugar (lbs)</t>
  </si>
  <si>
    <t>Average</t>
  </si>
  <si>
    <t>So in:</t>
  </si>
  <si>
    <t>For:</t>
  </si>
  <si>
    <t>sugar : water</t>
  </si>
  <si>
    <t>yeast : sugar</t>
  </si>
  <si>
    <t>lbs sugar</t>
  </si>
  <si>
    <t>oz yeast</t>
  </si>
  <si>
    <t>= Constant Value</t>
  </si>
  <si>
    <t>sugar</t>
  </si>
  <si>
    <t>Cost</t>
  </si>
  <si>
    <t>per lb</t>
  </si>
  <si>
    <t>yeast</t>
  </si>
  <si>
    <t>per oz</t>
  </si>
  <si>
    <t>Total</t>
  </si>
  <si>
    <t xml:space="preserve">per </t>
  </si>
  <si>
    <t>gallons</t>
  </si>
  <si>
    <t xml:space="preserve">sodium sulfite = </t>
  </si>
  <si>
    <t xml:space="preserve">zvi = </t>
  </si>
  <si>
    <t xml:space="preserve">Very temperature dependent. </t>
  </si>
  <si>
    <t>Tampa</t>
  </si>
  <si>
    <t>Fleischmanns Yeast</t>
  </si>
  <si>
    <t>Yeast</t>
  </si>
  <si>
    <t>Fleischmanns</t>
  </si>
  <si>
    <t>Saflager W-34/70</t>
  </si>
  <si>
    <t>Florastor</t>
  </si>
  <si>
    <t>48.2-71.6</t>
  </si>
  <si>
    <t>Temp Range (F)</t>
  </si>
  <si>
    <t>53-59</t>
  </si>
  <si>
    <t>Species</t>
  </si>
  <si>
    <t>saccharomyces cerevisiae</t>
  </si>
  <si>
    <t>saccharomyces boulardii lyo</t>
  </si>
  <si>
    <t>cell density (cells/g)</t>
  </si>
  <si>
    <t>68-140</t>
  </si>
  <si>
    <t>68-81</t>
  </si>
  <si>
    <t>Ideal Growth Range (F)</t>
  </si>
  <si>
    <t>Ideal Fermentation Range (F)</t>
  </si>
  <si>
    <t>81-100</t>
  </si>
  <si>
    <t>Doubling test</t>
  </si>
  <si>
    <t>Yeast (g)</t>
  </si>
  <si>
    <t>Water (ml)</t>
  </si>
  <si>
    <t>Sugar (g)</t>
  </si>
  <si>
    <t>1 packet Fleishmanns contains 2.25 teaspoons and weighs 0.25 oz = 7 g</t>
  </si>
  <si>
    <t xml:space="preserve">lbs sodium sulfite in </t>
  </si>
  <si>
    <t>chloramines</t>
  </si>
  <si>
    <r>
      <t>NH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Cl</t>
    </r>
  </si>
  <si>
    <r>
      <t>NHCl</t>
    </r>
    <r>
      <rPr>
        <vertAlign val="subscript"/>
        <sz val="10"/>
        <rFont val="Arial"/>
        <family val="2"/>
      </rPr>
      <t>2</t>
    </r>
  </si>
  <si>
    <r>
      <t>NCl</t>
    </r>
    <r>
      <rPr>
        <vertAlign val="subscript"/>
        <sz val="10"/>
        <rFont val="Arial"/>
        <family val="2"/>
      </rPr>
      <t>3</t>
    </r>
  </si>
  <si>
    <r>
      <t>O</t>
    </r>
    <r>
      <rPr>
        <vertAlign val="subscript"/>
        <sz val="10"/>
        <rFont val="Arial"/>
        <family val="2"/>
      </rPr>
      <t>2</t>
    </r>
  </si>
  <si>
    <r>
      <t>SO</t>
    </r>
    <r>
      <rPr>
        <vertAlign val="subscript"/>
        <sz val="10"/>
        <rFont val="Arial"/>
        <family val="2"/>
      </rPr>
      <t>4</t>
    </r>
  </si>
  <si>
    <r>
      <t>mg/l NH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Cl</t>
    </r>
  </si>
  <si>
    <r>
      <t>mg NH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Cl =</t>
    </r>
  </si>
  <si>
    <r>
      <t>g NH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Cl =</t>
    </r>
  </si>
  <si>
    <t>HOCl</t>
  </si>
  <si>
    <t>mg/l HOCl</t>
  </si>
  <si>
    <t>mg HOCl =</t>
  </si>
  <si>
    <t>g HOCl =</t>
  </si>
  <si>
    <r>
      <t>moles NH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Cl </t>
    </r>
  </si>
  <si>
    <t>moles HOCl</t>
  </si>
  <si>
    <t>mono</t>
  </si>
  <si>
    <t>di</t>
  </si>
  <si>
    <t>tri</t>
  </si>
  <si>
    <r>
      <t>2Na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SO</t>
    </r>
    <r>
      <rPr>
        <vertAlign val="subscript"/>
        <sz val="10"/>
        <rFont val="Arial"/>
        <family val="2"/>
      </rPr>
      <t>3</t>
    </r>
    <r>
      <rPr>
        <sz val="10"/>
        <rFont val="Arial"/>
        <family val="2"/>
      </rPr>
      <t xml:space="preserve"> + NaHCl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+2H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  --&gt;  2Na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SO</t>
    </r>
    <r>
      <rPr>
        <vertAlign val="subscript"/>
        <sz val="10"/>
        <rFont val="Arial"/>
        <family val="2"/>
      </rPr>
      <t xml:space="preserve">4 </t>
    </r>
    <r>
      <rPr>
        <sz val="10"/>
        <rFont val="Arial"/>
        <family val="2"/>
      </rPr>
      <t>+ NH</t>
    </r>
    <r>
      <rPr>
        <vertAlign val="subscript"/>
        <sz val="10"/>
        <rFont val="Arial"/>
        <family val="2"/>
      </rPr>
      <t>3</t>
    </r>
    <r>
      <rPr>
        <sz val="10"/>
        <rFont val="Arial"/>
        <family val="2"/>
      </rPr>
      <t xml:space="preserve"> + 2HCl</t>
    </r>
  </si>
  <si>
    <t>C6H8O6</t>
  </si>
  <si>
    <r>
      <t>2C</t>
    </r>
    <r>
      <rPr>
        <vertAlign val="subscript"/>
        <sz val="10"/>
        <rFont val="Arial"/>
        <family val="2"/>
      </rPr>
      <t>5</t>
    </r>
    <r>
      <rPr>
        <sz val="10"/>
        <rFont val="Arial"/>
        <family val="2"/>
      </rPr>
      <t>H</t>
    </r>
    <r>
      <rPr>
        <vertAlign val="subscript"/>
        <sz val="10"/>
        <rFont val="Arial"/>
        <family val="2"/>
      </rPr>
      <t>5</t>
    </r>
    <r>
      <rPr>
        <sz val="10"/>
        <rFont val="Arial"/>
        <family val="2"/>
      </rPr>
      <t>O</t>
    </r>
    <r>
      <rPr>
        <vertAlign val="subscript"/>
        <sz val="10"/>
        <rFont val="Arial"/>
        <family val="2"/>
      </rPr>
      <t>5</t>
    </r>
    <r>
      <rPr>
        <sz val="10"/>
        <rFont val="Arial"/>
        <family val="2"/>
      </rPr>
      <t>CH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OH + 2NH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Cl  --&gt;  2C</t>
    </r>
    <r>
      <rPr>
        <vertAlign val="subscript"/>
        <sz val="10"/>
        <rFont val="Arial"/>
        <family val="2"/>
      </rPr>
      <t>5</t>
    </r>
    <r>
      <rPr>
        <sz val="10"/>
        <rFont val="Arial"/>
        <family val="2"/>
      </rPr>
      <t>H</t>
    </r>
    <r>
      <rPr>
        <vertAlign val="subscript"/>
        <sz val="10"/>
        <rFont val="Arial"/>
        <family val="2"/>
      </rPr>
      <t>3</t>
    </r>
    <r>
      <rPr>
        <sz val="10"/>
        <rFont val="Arial"/>
        <family val="2"/>
      </rPr>
      <t>O</t>
    </r>
    <r>
      <rPr>
        <vertAlign val="subscript"/>
        <sz val="10"/>
        <rFont val="Arial"/>
        <family val="2"/>
      </rPr>
      <t>5</t>
    </r>
    <r>
      <rPr>
        <sz val="10"/>
        <rFont val="Arial"/>
        <family val="2"/>
      </rPr>
      <t>CH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OH</t>
    </r>
    <r>
      <rPr>
        <vertAlign val="subscript"/>
        <sz val="10"/>
        <rFont val="Arial"/>
        <family val="2"/>
      </rPr>
      <t xml:space="preserve"> </t>
    </r>
    <r>
      <rPr>
        <sz val="10"/>
        <rFont val="Arial"/>
        <family val="2"/>
      </rPr>
      <t>+2 NH</t>
    </r>
    <r>
      <rPr>
        <vertAlign val="subscript"/>
        <sz val="10"/>
        <rFont val="Arial"/>
        <family val="2"/>
      </rPr>
      <t>3</t>
    </r>
    <r>
      <rPr>
        <sz val="10"/>
        <rFont val="Arial"/>
        <family val="2"/>
      </rPr>
      <t xml:space="preserve"> + 2HCl</t>
    </r>
  </si>
  <si>
    <t xml:space="preserve">lbs ascorbic in </t>
  </si>
  <si>
    <t>gallons =</t>
  </si>
  <si>
    <t>mg/g ascorbic acid in frozen o.j.</t>
  </si>
  <si>
    <t>mg/g ascorbic acid in orange peel</t>
  </si>
  <si>
    <t>mg/g ascorbic acid in lemon peel</t>
  </si>
  <si>
    <t>mg/g ascorbic acid in raw lemon without seeds</t>
  </si>
  <si>
    <t>mg/g ascorbic acid in raw orange</t>
  </si>
  <si>
    <t>lbs oj</t>
  </si>
  <si>
    <t>lbs orange peel</t>
  </si>
  <si>
    <t>lbs lemon peel</t>
  </si>
  <si>
    <t>lbs raw lemons</t>
  </si>
  <si>
    <t>lbs raw oranges</t>
  </si>
  <si>
    <t>mg/L</t>
  </si>
  <si>
    <t>ounces</t>
  </si>
  <si>
    <t>Ascorbic Acid</t>
  </si>
  <si>
    <r>
      <t>2C</t>
    </r>
    <r>
      <rPr>
        <vertAlign val="subscript"/>
        <sz val="10"/>
        <rFont val="Arial"/>
        <family val="2"/>
      </rPr>
      <t>5</t>
    </r>
    <r>
      <rPr>
        <sz val="10"/>
        <rFont val="Arial"/>
        <family val="2"/>
      </rPr>
      <t>H</t>
    </r>
    <r>
      <rPr>
        <vertAlign val="subscript"/>
        <sz val="10"/>
        <rFont val="Arial"/>
        <family val="2"/>
      </rPr>
      <t>5</t>
    </r>
    <r>
      <rPr>
        <sz val="10"/>
        <rFont val="Arial"/>
        <family val="2"/>
      </rPr>
      <t>O</t>
    </r>
    <r>
      <rPr>
        <vertAlign val="subscript"/>
        <sz val="10"/>
        <rFont val="Arial"/>
        <family val="2"/>
      </rPr>
      <t>5</t>
    </r>
    <r>
      <rPr>
        <sz val="10"/>
        <rFont val="Arial"/>
        <family val="2"/>
      </rPr>
      <t>CH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OH + 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 --&gt;  2C</t>
    </r>
    <r>
      <rPr>
        <vertAlign val="subscript"/>
        <sz val="10"/>
        <rFont val="Arial"/>
        <family val="2"/>
      </rPr>
      <t>5</t>
    </r>
    <r>
      <rPr>
        <sz val="10"/>
        <rFont val="Arial"/>
        <family val="2"/>
      </rPr>
      <t>H</t>
    </r>
    <r>
      <rPr>
        <vertAlign val="subscript"/>
        <sz val="10"/>
        <rFont val="Arial"/>
        <family val="2"/>
      </rPr>
      <t>3</t>
    </r>
    <r>
      <rPr>
        <sz val="10"/>
        <rFont val="Arial"/>
        <family val="2"/>
      </rPr>
      <t>O</t>
    </r>
    <r>
      <rPr>
        <vertAlign val="subscript"/>
        <sz val="10"/>
        <rFont val="Arial"/>
        <family val="2"/>
      </rPr>
      <t>5</t>
    </r>
    <r>
      <rPr>
        <sz val="10"/>
        <rFont val="Arial"/>
        <family val="2"/>
      </rPr>
      <t>CH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OH</t>
    </r>
    <r>
      <rPr>
        <vertAlign val="subscript"/>
        <sz val="10"/>
        <rFont val="Arial"/>
        <family val="2"/>
      </rPr>
      <t xml:space="preserve"> </t>
    </r>
    <r>
      <rPr>
        <sz val="10"/>
        <rFont val="Arial"/>
        <family val="2"/>
      </rPr>
      <t>+2 H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</si>
  <si>
    <t>sodium metabisulfite</t>
  </si>
  <si>
    <r>
      <t>Na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S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  <r>
      <rPr>
        <vertAlign val="subscript"/>
        <sz val="10"/>
        <rFont val="Arial"/>
        <family val="2"/>
      </rPr>
      <t>5</t>
    </r>
    <r>
      <rPr>
        <sz val="10"/>
        <rFont val="Arial"/>
        <family val="2"/>
      </rPr>
      <t xml:space="preserve"> + H2O --&gt; 2 Na</t>
    </r>
    <r>
      <rPr>
        <vertAlign val="superscript"/>
        <sz val="10"/>
        <rFont val="Arial"/>
        <family val="0"/>
      </rPr>
      <t>+</t>
    </r>
    <r>
      <rPr>
        <sz val="10"/>
        <rFont val="Arial"/>
        <family val="2"/>
      </rPr>
      <t xml:space="preserve"> + 2 HSO</t>
    </r>
    <r>
      <rPr>
        <vertAlign val="subscript"/>
        <sz val="10"/>
        <rFont val="Arial"/>
        <family val="2"/>
      </rPr>
      <t>3</t>
    </r>
    <r>
      <rPr>
        <vertAlign val="superscript"/>
        <sz val="10"/>
        <rFont val="Arial"/>
        <family val="0"/>
      </rPr>
      <t>-</t>
    </r>
    <r>
      <rPr>
        <sz val="10"/>
        <rFont val="Arial"/>
        <family val="2"/>
      </rPr>
      <t xml:space="preserve"> +  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--&gt; 2</t>
    </r>
    <r>
      <rPr>
        <sz val="10"/>
        <rFont val="Arial"/>
        <family val="2"/>
      </rPr>
      <t xml:space="preserve"> SO4</t>
    </r>
    <r>
      <rPr>
        <vertAlign val="superscript"/>
        <sz val="10"/>
        <rFont val="Arial"/>
        <family val="0"/>
      </rPr>
      <t>2-</t>
    </r>
    <r>
      <rPr>
        <vertAlign val="subscript"/>
        <sz val="10"/>
        <rFont val="Arial"/>
        <family val="2"/>
      </rPr>
      <t xml:space="preserve"> </t>
    </r>
    <r>
      <rPr>
        <sz val="10"/>
        <rFont val="Arial"/>
        <family val="2"/>
      </rPr>
      <t>+</t>
    </r>
    <r>
      <rPr>
        <vertAlign val="subscript"/>
        <sz val="10"/>
        <rFont val="Arial"/>
        <family val="2"/>
      </rPr>
      <t xml:space="preserve"> </t>
    </r>
    <r>
      <rPr>
        <sz val="10"/>
        <rFont val="Arial"/>
        <family val="2"/>
      </rPr>
      <t>2 H</t>
    </r>
    <r>
      <rPr>
        <vertAlign val="superscript"/>
        <sz val="10"/>
        <rFont val="Arial"/>
        <family val="0"/>
      </rPr>
      <t>+</t>
    </r>
    <r>
      <rPr>
        <vertAlign val="subscript"/>
        <sz val="10"/>
        <rFont val="Arial"/>
        <family val="2"/>
      </rPr>
      <t xml:space="preserve"> </t>
    </r>
    <r>
      <rPr>
        <sz val="10"/>
        <rFont val="Arial"/>
        <family val="2"/>
      </rPr>
      <t>+2 Na</t>
    </r>
    <r>
      <rPr>
        <vertAlign val="superscript"/>
        <sz val="10"/>
        <rFont val="Arial"/>
        <family val="0"/>
      </rPr>
      <t>+</t>
    </r>
  </si>
  <si>
    <r>
      <t>Na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S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  <r>
      <rPr>
        <vertAlign val="subscript"/>
        <sz val="10"/>
        <rFont val="Arial"/>
        <family val="2"/>
      </rPr>
      <t>5</t>
    </r>
  </si>
  <si>
    <t xml:space="preserve">lbs sodium metabisulfite in </t>
  </si>
  <si>
    <r>
      <t>sodium metabisulfite (Na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S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  <r>
      <rPr>
        <vertAlign val="subscript"/>
        <sz val="10"/>
        <rFont val="Arial"/>
        <family val="2"/>
      </rPr>
      <t>5</t>
    </r>
    <r>
      <rPr>
        <sz val="10"/>
        <rFont val="Arial"/>
        <family val="2"/>
      </rPr>
      <t>) solubility =</t>
    </r>
  </si>
  <si>
    <t>Reaction rate of sodium metabisulfite should be less than 30 minutes.</t>
  </si>
  <si>
    <t>For SBC, use sodium sulfite with water first to remove oxygen, then add magnesium sulfate or other products.</t>
  </si>
  <si>
    <r>
      <t>Na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S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  <r>
      <rPr>
        <vertAlign val="subscript"/>
        <sz val="10"/>
        <rFont val="Arial"/>
        <family val="2"/>
      </rPr>
      <t>5</t>
    </r>
    <r>
      <rPr>
        <sz val="10"/>
        <rFont val="Arial"/>
        <family val="2"/>
      </rPr>
      <t xml:space="preserve"> + 2NH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Cl + 3H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  --&gt;  2Na</t>
    </r>
    <r>
      <rPr>
        <vertAlign val="superscript"/>
        <sz val="10"/>
        <rFont val="Arial"/>
        <family val="0"/>
      </rPr>
      <t>+</t>
    </r>
    <r>
      <rPr>
        <sz val="10"/>
        <rFont val="Arial"/>
        <family val="2"/>
      </rPr>
      <t xml:space="preserve"> + </t>
    </r>
    <r>
      <rPr>
        <sz val="10"/>
        <rFont val="Arial"/>
        <family val="2"/>
      </rPr>
      <t>2</t>
    </r>
    <r>
      <rPr>
        <sz val="10"/>
        <rFont val="Arial"/>
        <family val="2"/>
      </rPr>
      <t>SO</t>
    </r>
    <r>
      <rPr>
        <vertAlign val="subscript"/>
        <sz val="10"/>
        <rFont val="Arial"/>
        <family val="2"/>
      </rPr>
      <t>4</t>
    </r>
    <r>
      <rPr>
        <vertAlign val="superscript"/>
        <sz val="10"/>
        <rFont val="Arial"/>
        <family val="0"/>
      </rPr>
      <t>2-</t>
    </r>
    <r>
      <rPr>
        <vertAlign val="subscript"/>
        <sz val="10"/>
        <rFont val="Arial"/>
        <family val="2"/>
      </rPr>
      <t xml:space="preserve"> </t>
    </r>
    <r>
      <rPr>
        <sz val="10"/>
        <rFont val="Arial"/>
        <family val="2"/>
      </rPr>
      <t>+ NH</t>
    </r>
    <r>
      <rPr>
        <vertAlign val="subscript"/>
        <sz val="10"/>
        <rFont val="Arial"/>
        <family val="2"/>
      </rPr>
      <t>4</t>
    </r>
    <r>
      <rPr>
        <vertAlign val="superscript"/>
        <sz val="10"/>
        <rFont val="Arial"/>
        <family val="0"/>
      </rPr>
      <t>+</t>
    </r>
    <r>
      <rPr>
        <sz val="10"/>
        <rFont val="Arial"/>
        <family val="2"/>
      </rPr>
      <t xml:space="preserve"> +2 HCl</t>
    </r>
  </si>
  <si>
    <r>
      <t>Na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S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  <r>
      <rPr>
        <vertAlign val="subscript"/>
        <sz val="10"/>
        <rFont val="Arial"/>
        <family val="2"/>
      </rPr>
      <t>5</t>
    </r>
    <r>
      <rPr>
        <sz val="10"/>
        <rFont val="Arial"/>
        <family val="2"/>
      </rPr>
      <t xml:space="preserve"> + HOCl + 2 H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 --&gt;  2Na</t>
    </r>
    <r>
      <rPr>
        <vertAlign val="superscript"/>
        <sz val="10"/>
        <rFont val="Arial"/>
        <family val="0"/>
      </rPr>
      <t>+</t>
    </r>
    <r>
      <rPr>
        <sz val="10"/>
        <rFont val="Arial"/>
        <family val="2"/>
      </rPr>
      <t>+</t>
    </r>
    <r>
      <rPr>
        <sz val="10"/>
        <rFont val="Arial"/>
        <family val="2"/>
      </rPr>
      <t xml:space="preserve"> </t>
    </r>
    <r>
      <rPr>
        <sz val="10"/>
        <rFont val="Arial"/>
        <family val="2"/>
      </rPr>
      <t>2</t>
    </r>
    <r>
      <rPr>
        <sz val="10"/>
        <rFont val="Arial"/>
        <family val="2"/>
      </rPr>
      <t>SO</t>
    </r>
    <r>
      <rPr>
        <vertAlign val="subscript"/>
        <sz val="10"/>
        <rFont val="Arial"/>
        <family val="2"/>
      </rPr>
      <t>4</t>
    </r>
    <r>
      <rPr>
        <vertAlign val="superscript"/>
        <sz val="10"/>
        <rFont val="Arial"/>
        <family val="0"/>
      </rPr>
      <t>2-</t>
    </r>
    <r>
      <rPr>
        <vertAlign val="subscript"/>
        <sz val="10"/>
        <rFont val="Arial"/>
        <family val="2"/>
      </rPr>
      <t xml:space="preserve"> </t>
    </r>
    <r>
      <rPr>
        <sz val="10"/>
        <rFont val="Arial"/>
        <family val="2"/>
      </rPr>
      <t>+ HCl + 4H</t>
    </r>
    <r>
      <rPr>
        <vertAlign val="superscript"/>
        <sz val="10"/>
        <rFont val="Arial"/>
        <family val="0"/>
      </rPr>
      <t>+</t>
    </r>
  </si>
  <si>
    <r>
      <t>Na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SO</t>
    </r>
    <r>
      <rPr>
        <vertAlign val="subscript"/>
        <sz val="10"/>
        <rFont val="Arial"/>
        <family val="2"/>
      </rPr>
      <t>3</t>
    </r>
    <r>
      <rPr>
        <sz val="10"/>
        <rFont val="Arial"/>
        <family val="2"/>
      </rPr>
      <t xml:space="preserve"> + HOCl  --&gt;  2Na</t>
    </r>
    <r>
      <rPr>
        <vertAlign val="superscript"/>
        <sz val="10"/>
        <rFont val="Arial"/>
        <family val="0"/>
      </rPr>
      <t>+</t>
    </r>
    <r>
      <rPr>
        <vertAlign val="subscript"/>
        <sz val="10"/>
        <rFont val="Arial"/>
        <family val="2"/>
      </rPr>
      <t xml:space="preserve"> </t>
    </r>
    <r>
      <rPr>
        <sz val="10"/>
        <rFont val="Arial"/>
        <family val="2"/>
      </rPr>
      <t>+</t>
    </r>
    <r>
      <rPr>
        <vertAlign val="subscript"/>
        <sz val="10"/>
        <rFont val="Arial"/>
        <family val="2"/>
      </rPr>
      <t xml:space="preserve"> </t>
    </r>
    <r>
      <rPr>
        <sz val="10"/>
        <rFont val="Arial"/>
        <family val="2"/>
      </rPr>
      <t>SO</t>
    </r>
    <r>
      <rPr>
        <vertAlign val="subscript"/>
        <sz val="10"/>
        <rFont val="Arial"/>
        <family val="2"/>
      </rPr>
      <t>4</t>
    </r>
    <r>
      <rPr>
        <vertAlign val="superscript"/>
        <sz val="10"/>
        <rFont val="Arial"/>
        <family val="0"/>
      </rPr>
      <t>2-</t>
    </r>
    <r>
      <rPr>
        <vertAlign val="subscript"/>
        <sz val="10"/>
        <rFont val="Arial"/>
        <family val="2"/>
      </rPr>
      <t xml:space="preserve"> </t>
    </r>
    <r>
      <rPr>
        <sz val="10"/>
        <rFont val="Arial"/>
        <family val="2"/>
      </rPr>
      <t>+ HCl</t>
    </r>
  </si>
  <si>
    <r>
      <t>Na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SO</t>
    </r>
    <r>
      <rPr>
        <vertAlign val="subscript"/>
        <sz val="10"/>
        <rFont val="Arial"/>
        <family val="2"/>
      </rPr>
      <t>3</t>
    </r>
    <r>
      <rPr>
        <sz val="10"/>
        <rFont val="Arial"/>
        <family val="2"/>
      </rPr>
      <t xml:space="preserve"> + NH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Cl + H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  --&gt;  2Na</t>
    </r>
    <r>
      <rPr>
        <vertAlign val="superscript"/>
        <sz val="10"/>
        <rFont val="Arial"/>
        <family val="0"/>
      </rPr>
      <t>+</t>
    </r>
    <r>
      <rPr>
        <vertAlign val="subscript"/>
        <sz val="10"/>
        <rFont val="Arial"/>
        <family val="2"/>
      </rPr>
      <t xml:space="preserve"> </t>
    </r>
    <r>
      <rPr>
        <sz val="10"/>
        <rFont val="Arial"/>
        <family val="2"/>
      </rPr>
      <t>+</t>
    </r>
    <r>
      <rPr>
        <vertAlign val="subscript"/>
        <sz val="10"/>
        <rFont val="Arial"/>
        <family val="2"/>
      </rPr>
      <t xml:space="preserve"> </t>
    </r>
    <r>
      <rPr>
        <sz val="10"/>
        <rFont val="Arial"/>
        <family val="2"/>
      </rPr>
      <t>SO</t>
    </r>
    <r>
      <rPr>
        <vertAlign val="subscript"/>
        <sz val="10"/>
        <rFont val="Arial"/>
        <family val="2"/>
      </rPr>
      <t>4</t>
    </r>
    <r>
      <rPr>
        <vertAlign val="superscript"/>
        <sz val="10"/>
        <rFont val="Arial"/>
        <family val="0"/>
      </rPr>
      <t>2-</t>
    </r>
    <r>
      <rPr>
        <vertAlign val="subscript"/>
        <sz val="10"/>
        <rFont val="Arial"/>
        <family val="2"/>
      </rPr>
      <t xml:space="preserve"> </t>
    </r>
    <r>
      <rPr>
        <sz val="10"/>
        <rFont val="Arial"/>
        <family val="2"/>
      </rPr>
      <t>+ NH</t>
    </r>
    <r>
      <rPr>
        <vertAlign val="subscript"/>
        <sz val="10"/>
        <rFont val="Arial"/>
        <family val="2"/>
      </rPr>
      <t>3</t>
    </r>
    <r>
      <rPr>
        <sz val="10"/>
        <rFont val="Arial"/>
        <family val="2"/>
      </rPr>
      <t xml:space="preserve"> + HCl</t>
    </r>
  </si>
  <si>
    <t>oxygen</t>
  </si>
  <si>
    <t>Typical value between 0.5 and 3</t>
  </si>
  <si>
    <t>Typical value between 1 and 4</t>
  </si>
  <si>
    <t>Enter % of pore volume injected</t>
  </si>
  <si>
    <r>
      <t>C</t>
    </r>
    <r>
      <rPr>
        <vertAlign val="subscript"/>
        <sz val="10"/>
        <rFont val="Arial"/>
        <family val="2"/>
      </rPr>
      <t>5</t>
    </r>
    <r>
      <rPr>
        <sz val="10"/>
        <rFont val="Arial"/>
        <family val="2"/>
      </rPr>
      <t>H</t>
    </r>
    <r>
      <rPr>
        <vertAlign val="subscript"/>
        <sz val="10"/>
        <rFont val="Arial"/>
        <family val="2"/>
      </rPr>
      <t>5</t>
    </r>
    <r>
      <rPr>
        <sz val="10"/>
        <rFont val="Arial"/>
        <family val="2"/>
      </rPr>
      <t>O</t>
    </r>
    <r>
      <rPr>
        <vertAlign val="subscript"/>
        <sz val="10"/>
        <rFont val="Arial"/>
        <family val="2"/>
      </rPr>
      <t>5</t>
    </r>
    <r>
      <rPr>
        <sz val="10"/>
        <rFont val="Arial"/>
        <family val="2"/>
      </rPr>
      <t>CH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OH + HOCl  --&gt;  C</t>
    </r>
    <r>
      <rPr>
        <vertAlign val="subscript"/>
        <sz val="10"/>
        <rFont val="Arial"/>
        <family val="2"/>
      </rPr>
      <t>5</t>
    </r>
    <r>
      <rPr>
        <sz val="10"/>
        <rFont val="Arial"/>
        <family val="2"/>
      </rPr>
      <t>H</t>
    </r>
    <r>
      <rPr>
        <vertAlign val="subscript"/>
        <sz val="10"/>
        <rFont val="Arial"/>
        <family val="2"/>
      </rPr>
      <t>3</t>
    </r>
    <r>
      <rPr>
        <sz val="10"/>
        <rFont val="Arial"/>
        <family val="2"/>
      </rPr>
      <t>O</t>
    </r>
    <r>
      <rPr>
        <vertAlign val="subscript"/>
        <sz val="10"/>
        <rFont val="Arial"/>
        <family val="2"/>
      </rPr>
      <t>5</t>
    </r>
    <r>
      <rPr>
        <sz val="10"/>
        <rFont val="Arial"/>
        <family val="2"/>
      </rPr>
      <t>CH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OH</t>
    </r>
    <r>
      <rPr>
        <vertAlign val="subscript"/>
        <sz val="10"/>
        <rFont val="Arial"/>
        <family val="2"/>
      </rPr>
      <t xml:space="preserve"> </t>
    </r>
    <r>
      <rPr>
        <sz val="10"/>
        <rFont val="Arial"/>
        <family val="2"/>
      </rPr>
      <t>+H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 + HCl</t>
    </r>
  </si>
  <si>
    <t>Use chart on right</t>
  </si>
  <si>
    <t>gals</t>
  </si>
  <si>
    <t>TOTAL*</t>
  </si>
  <si>
    <r>
      <t>mg/l O</t>
    </r>
    <r>
      <rPr>
        <vertAlign val="subscript"/>
        <sz val="14"/>
        <rFont val="Times New Roman"/>
        <family val="1"/>
      </rPr>
      <t>2</t>
    </r>
  </si>
  <si>
    <r>
      <t>mg/l NH</t>
    </r>
    <r>
      <rPr>
        <vertAlign val="subscript"/>
        <sz val="14"/>
        <rFont val="Times New Roman"/>
        <family val="1"/>
      </rPr>
      <t>2</t>
    </r>
    <r>
      <rPr>
        <sz val="14"/>
        <rFont val="Times New Roman"/>
        <family val="1"/>
      </rPr>
      <t>Cl</t>
    </r>
  </si>
  <si>
    <r>
      <t>NH</t>
    </r>
    <r>
      <rPr>
        <vertAlign val="subscript"/>
        <sz val="14"/>
        <rFont val="Times New Roman"/>
        <family val="1"/>
      </rPr>
      <t>2</t>
    </r>
    <r>
      <rPr>
        <sz val="14"/>
        <rFont val="Times New Roman"/>
        <family val="1"/>
      </rPr>
      <t>Cl</t>
    </r>
  </si>
  <si>
    <t>Temp  °C</t>
  </si>
  <si>
    <t>Temp °F</t>
  </si>
  <si>
    <t>Sea Level</t>
  </si>
  <si>
    <t>D.O. mg/L</t>
  </si>
  <si>
    <t>1000' Above MSL</t>
  </si>
  <si>
    <t>Enter 100 to get in-tank sulfate concentration</t>
  </si>
  <si>
    <t>* Totals are amount using that chemical only, they do not need to be combined</t>
  </si>
  <si>
    <t>Oxygen Scavenger Estimate</t>
  </si>
  <si>
    <t>Scavenger</t>
  </si>
  <si>
    <t>Factors</t>
  </si>
  <si>
    <t>Total gallons to deoxygenate:</t>
  </si>
  <si>
    <t>Total dissolved oxygen assumed to be in water :</t>
  </si>
  <si>
    <t>Total free chlorine</t>
  </si>
  <si>
    <t>Total residual chloramine</t>
  </si>
  <si>
    <t>Sodium metabisulfite needed (lbs)</t>
  </si>
  <si>
    <t>Sodium sulfite needed (lbs)</t>
  </si>
  <si>
    <t>Ascorbic acid needed (lbs)</t>
  </si>
  <si>
    <t>Sodium ascorbate needed (lbs)</t>
  </si>
  <si>
    <t>sulfate added to PV or in-tank concentration if % pore volume is 100 (Cell B9 entry)</t>
  </si>
  <si>
    <t>Mao X, Polasko A, Alvarez-Cohen L. Effects of Sulfate Reduction on Trichloroethene Dechlorination by Dehalococcoides-Containing Microbial Communities. Appl Environ Microbiol. 2017 Mar 31;83(8)</t>
  </si>
  <si>
    <t>This spreadsheet is provided free of charge. Use at your own risk. There is no explicit or implied guarantee.</t>
  </si>
  <si>
    <t>Please read the accompanying technical document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</si>
</sst>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0000000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54">
    <font>
      <sz val="10"/>
      <name val="Arial"/>
      <family val="2"/>
    </font>
    <font>
      <sz val="8"/>
      <name val="Arial"/>
      <family val="2"/>
    </font>
    <font>
      <vertAlign val="subscript"/>
      <sz val="10"/>
      <name val="Arial"/>
      <family val="2"/>
    </font>
    <font>
      <vertAlign val="superscript"/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0"/>
    </font>
    <font>
      <b/>
      <sz val="14"/>
      <name val="Arial"/>
      <family val="2"/>
    </font>
    <font>
      <b/>
      <u val="single"/>
      <sz val="10"/>
      <name val="Arial"/>
      <family val="0"/>
    </font>
    <font>
      <sz val="14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u val="single"/>
      <sz val="14"/>
      <name val="Times New Roman"/>
      <family val="1"/>
    </font>
    <font>
      <vertAlign val="subscript"/>
      <sz val="14"/>
      <name val="Times New Roman"/>
      <family val="1"/>
    </font>
    <font>
      <b/>
      <u val="single"/>
      <sz val="14"/>
      <name val="Times New Roman"/>
      <family val="1"/>
    </font>
    <font>
      <sz val="11"/>
      <name val="Times New Roman"/>
      <family val="1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-0.24997000396251678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0" borderId="0" xfId="0" applyFill="1" applyAlignment="1">
      <alignment/>
    </xf>
    <xf numFmtId="9" fontId="0" fillId="33" borderId="0" xfId="57" applyFont="1" applyFill="1" applyAlignment="1">
      <alignment/>
    </xf>
    <xf numFmtId="9" fontId="0" fillId="0" borderId="0" xfId="57" applyFont="1" applyFill="1" applyAlignment="1">
      <alignment/>
    </xf>
    <xf numFmtId="0" fontId="5" fillId="0" borderId="0" xfId="0" applyFont="1" applyAlignment="1">
      <alignment/>
    </xf>
    <xf numFmtId="0" fontId="0" fillId="0" borderId="0" xfId="0" applyFill="1" applyAlignment="1" quotePrefix="1">
      <alignment/>
    </xf>
    <xf numFmtId="0" fontId="0" fillId="0" borderId="0" xfId="0" applyAlignment="1" quotePrefix="1">
      <alignment/>
    </xf>
    <xf numFmtId="0" fontId="0" fillId="35" borderId="0" xfId="0" applyFill="1" applyAlignment="1">
      <alignment/>
    </xf>
    <xf numFmtId="2" fontId="0" fillId="33" borderId="0" xfId="0" applyNumberFormat="1" applyFill="1" applyAlignment="1">
      <alignment/>
    </xf>
    <xf numFmtId="0" fontId="6" fillId="0" borderId="0" xfId="0" applyFont="1" applyAlignment="1">
      <alignment/>
    </xf>
    <xf numFmtId="179" fontId="0" fillId="0" borderId="0" xfId="0" applyNumberForma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36" borderId="0" xfId="0" applyFill="1" applyAlignment="1">
      <alignment/>
    </xf>
    <xf numFmtId="2" fontId="0" fillId="35" borderId="0" xfId="0" applyNumberFormat="1" applyFill="1" applyAlignment="1">
      <alignment/>
    </xf>
    <xf numFmtId="44" fontId="0" fillId="36" borderId="0" xfId="44" applyFont="1" applyFill="1" applyAlignment="1">
      <alignment/>
    </xf>
    <xf numFmtId="44" fontId="0" fillId="35" borderId="0" xfId="0" applyNumberFormat="1" applyFill="1" applyAlignment="1">
      <alignment/>
    </xf>
    <xf numFmtId="44" fontId="5" fillId="35" borderId="0" xfId="0" applyNumberFormat="1" applyFont="1" applyFill="1" applyAlignment="1">
      <alignment/>
    </xf>
    <xf numFmtId="2" fontId="4" fillId="35" borderId="0" xfId="0" applyNumberFormat="1" applyFont="1" applyFill="1" applyAlignment="1">
      <alignment/>
    </xf>
    <xf numFmtId="44" fontId="0" fillId="0" borderId="0" xfId="44" applyFont="1" applyFill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11" fontId="0" fillId="0" borderId="0" xfId="0" applyNumberFormat="1" applyAlignment="1">
      <alignment/>
    </xf>
    <xf numFmtId="44" fontId="0" fillId="0" borderId="0" xfId="44" applyFont="1" applyFill="1" applyAlignment="1">
      <alignment/>
    </xf>
    <xf numFmtId="44" fontId="5" fillId="0" borderId="0" xfId="0" applyNumberFormat="1" applyFont="1" applyFill="1" applyAlignment="1">
      <alignment/>
    </xf>
    <xf numFmtId="2" fontId="4" fillId="0" borderId="0" xfId="0" applyNumberFormat="1" applyFont="1" applyFill="1" applyAlignment="1">
      <alignment/>
    </xf>
    <xf numFmtId="0" fontId="9" fillId="34" borderId="0" xfId="0" applyFont="1" applyFill="1" applyAlignment="1">
      <alignment/>
    </xf>
    <xf numFmtId="1" fontId="9" fillId="0" borderId="0" xfId="0" applyNumberFormat="1" applyFont="1" applyAlignment="1">
      <alignment/>
    </xf>
    <xf numFmtId="180" fontId="0" fillId="33" borderId="0" xfId="0" applyNumberFormat="1" applyFill="1" applyAlignment="1">
      <alignment/>
    </xf>
    <xf numFmtId="2" fontId="0" fillId="0" borderId="0" xfId="0" applyNumberFormat="1" applyAlignment="1">
      <alignment/>
    </xf>
    <xf numFmtId="179" fontId="9" fillId="34" borderId="0" xfId="0" applyNumberFormat="1" applyFont="1" applyFill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33" borderId="0" xfId="0" applyFont="1" applyFill="1" applyAlignment="1">
      <alignment/>
    </xf>
    <xf numFmtId="0" fontId="12" fillId="0" borderId="0" xfId="0" applyFont="1" applyFill="1" applyAlignment="1" quotePrefix="1">
      <alignment/>
    </xf>
    <xf numFmtId="0" fontId="13" fillId="0" borderId="0" xfId="0" applyFont="1" applyAlignment="1">
      <alignment/>
    </xf>
    <xf numFmtId="0" fontId="12" fillId="34" borderId="0" xfId="0" applyFont="1" applyFill="1" applyAlignment="1">
      <alignment/>
    </xf>
    <xf numFmtId="0" fontId="12" fillId="0" borderId="0" xfId="0" applyFont="1" applyAlignment="1" quotePrefix="1">
      <alignment/>
    </xf>
    <xf numFmtId="0" fontId="12" fillId="36" borderId="0" xfId="0" applyFont="1" applyFill="1" applyAlignment="1">
      <alignment/>
    </xf>
    <xf numFmtId="0" fontId="12" fillId="33" borderId="0" xfId="0" applyFont="1" applyFill="1" applyAlignment="1">
      <alignment horizontal="center"/>
    </xf>
    <xf numFmtId="0" fontId="12" fillId="0" borderId="0" xfId="0" applyFont="1" applyFill="1" applyAlignment="1">
      <alignment/>
    </xf>
    <xf numFmtId="9" fontId="12" fillId="33" borderId="0" xfId="57" applyFont="1" applyFill="1" applyAlignment="1">
      <alignment horizontal="center"/>
    </xf>
    <xf numFmtId="0" fontId="12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179" fontId="12" fillId="35" borderId="0" xfId="0" applyNumberFormat="1" applyFont="1" applyFill="1" applyAlignment="1">
      <alignment horizontal="center"/>
    </xf>
    <xf numFmtId="2" fontId="10" fillId="35" borderId="0" xfId="0" applyNumberFormat="1" applyFont="1" applyFill="1" applyAlignment="1">
      <alignment horizontal="center"/>
    </xf>
    <xf numFmtId="2" fontId="12" fillId="35" borderId="0" xfId="0" applyNumberFormat="1" applyFont="1" applyFill="1" applyAlignment="1">
      <alignment horizontal="center"/>
    </xf>
    <xf numFmtId="0" fontId="12" fillId="36" borderId="0" xfId="0" applyFont="1" applyFill="1" applyAlignment="1">
      <alignment horizontal="center"/>
    </xf>
    <xf numFmtId="0" fontId="12" fillId="35" borderId="0" xfId="0" applyFont="1" applyFill="1" applyAlignment="1">
      <alignment horizontal="center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chartsheet" Target="chartsheets/sheet1.xml" /><Relationship Id="rId13" Type="http://schemas.openxmlformats.org/officeDocument/2006/relationships/worksheet" Target="worksheets/sheet12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Biological Deoxygenation</a:t>
            </a:r>
          </a:p>
        </c:rich>
      </c:tx>
      <c:layout>
        <c:manualLayout>
          <c:xMode val="factor"/>
          <c:yMode val="factor"/>
          <c:x val="0"/>
          <c:y val="-0.00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5"/>
          <c:y val="0.0735"/>
          <c:w val="0.761"/>
          <c:h val="0.876"/>
        </c:manualLayout>
      </c:layout>
      <c:scatterChart>
        <c:scatterStyle val="lineMarker"/>
        <c:varyColors val="0"/>
        <c:ser>
          <c:idx val="0"/>
          <c:order val="0"/>
          <c:tx>
            <c:v>Wesley Chapel, FL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99CCFF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Yeast_Sugar!$A$8:$A$13</c:f>
              <c:numCache>
                <c:ptCount val="6"/>
                <c:pt idx="0">
                  <c:v>1</c:v>
                </c:pt>
                <c:pt idx="1">
                  <c:v>10</c:v>
                </c:pt>
                <c:pt idx="2">
                  <c:v>50</c:v>
                </c:pt>
                <c:pt idx="3">
                  <c:v>100</c:v>
                </c:pt>
                <c:pt idx="4">
                  <c:v>500</c:v>
                </c:pt>
                <c:pt idx="5">
                  <c:v>1000</c:v>
                </c:pt>
              </c:numCache>
            </c:numRef>
          </c:xVal>
          <c:yVal>
            <c:numRef>
              <c:f>Yeast_Sugar!$B$8:$B$13</c:f>
              <c:numCache>
                <c:ptCount val="6"/>
                <c:pt idx="0">
                  <c:v>0.1</c:v>
                </c:pt>
                <c:pt idx="1">
                  <c:v>1</c:v>
                </c:pt>
                <c:pt idx="2">
                  <c:v>5</c:v>
                </c:pt>
                <c:pt idx="3">
                  <c:v>10</c:v>
                </c:pt>
                <c:pt idx="4">
                  <c:v>50</c:v>
                </c:pt>
                <c:pt idx="5">
                  <c:v>100</c:v>
                </c:pt>
              </c:numCache>
            </c:numRef>
          </c:yVal>
          <c:smooth val="0"/>
        </c:ser>
        <c:ser>
          <c:idx val="1"/>
          <c:order val="1"/>
          <c:tx>
            <c:v>Bench Study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CC99"/>
              </a:solidFill>
              <a:ln>
                <a:solidFill>
                  <a:srgbClr val="993366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Yeast_Sugar!$A$8:$A$13</c:f>
              <c:numCache>
                <c:ptCount val="6"/>
                <c:pt idx="0">
                  <c:v>1</c:v>
                </c:pt>
                <c:pt idx="1">
                  <c:v>10</c:v>
                </c:pt>
                <c:pt idx="2">
                  <c:v>50</c:v>
                </c:pt>
                <c:pt idx="3">
                  <c:v>100</c:v>
                </c:pt>
                <c:pt idx="4">
                  <c:v>500</c:v>
                </c:pt>
                <c:pt idx="5">
                  <c:v>1000</c:v>
                </c:pt>
              </c:numCache>
            </c:numRef>
          </c:xVal>
          <c:yVal>
            <c:numRef>
              <c:f>Yeast_Sugar!$D$8:$D$13</c:f>
              <c:numCache>
                <c:ptCount val="6"/>
                <c:pt idx="0">
                  <c:v>0.15</c:v>
                </c:pt>
                <c:pt idx="1">
                  <c:v>1.5</c:v>
                </c:pt>
                <c:pt idx="2">
                  <c:v>7.5</c:v>
                </c:pt>
                <c:pt idx="3">
                  <c:v>15</c:v>
                </c:pt>
                <c:pt idx="4">
                  <c:v>75</c:v>
                </c:pt>
                <c:pt idx="5">
                  <c:v>150</c:v>
                </c:pt>
              </c:numCache>
            </c:numRef>
          </c:yVal>
          <c:smooth val="0"/>
        </c:ser>
        <c:ser>
          <c:idx val="2"/>
          <c:order val="2"/>
          <c:tx>
            <c:v>Myrtle Beach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CCFFCC"/>
              </a:solidFill>
              <a:ln>
                <a:solidFill>
                  <a:srgbClr val="90713A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Yeast_Sugar!$A$8:$A$13</c:f>
              <c:numCache>
                <c:ptCount val="6"/>
                <c:pt idx="0">
                  <c:v>1</c:v>
                </c:pt>
                <c:pt idx="1">
                  <c:v>10</c:v>
                </c:pt>
                <c:pt idx="2">
                  <c:v>50</c:v>
                </c:pt>
                <c:pt idx="3">
                  <c:v>100</c:v>
                </c:pt>
                <c:pt idx="4">
                  <c:v>500</c:v>
                </c:pt>
                <c:pt idx="5">
                  <c:v>1000</c:v>
                </c:pt>
              </c:numCache>
            </c:numRef>
          </c:xVal>
          <c:yVal>
            <c:numRef>
              <c:f>Yeast_Sugar!$F$8:$F$13</c:f>
              <c:numCache>
                <c:ptCount val="6"/>
                <c:pt idx="0">
                  <c:v>0.008</c:v>
                </c:pt>
                <c:pt idx="1">
                  <c:v>0.08</c:v>
                </c:pt>
                <c:pt idx="2">
                  <c:v>0.4</c:v>
                </c:pt>
                <c:pt idx="3">
                  <c:v>0.8</c:v>
                </c:pt>
                <c:pt idx="4">
                  <c:v>4</c:v>
                </c:pt>
                <c:pt idx="5">
                  <c:v>8</c:v>
                </c:pt>
              </c:numCache>
            </c:numRef>
          </c:yVal>
          <c:smooth val="0"/>
        </c:ser>
        <c:axId val="9636930"/>
        <c:axId val="19623507"/>
      </c:scatterChart>
      <c:scatterChart>
        <c:scatterStyle val="lineMarker"/>
        <c:varyColors val="0"/>
        <c:ser>
          <c:idx val="3"/>
          <c:order val="3"/>
          <c:tx>
            <c:v>Wesley Chapel Yeast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9"/>
            <c:spPr>
              <a:noFill/>
              <a:ln>
                <a:solidFill>
                  <a:srgbClr val="3366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Yeast_Sugar!$A$8:$A$13</c:f>
              <c:numCache>
                <c:ptCount val="6"/>
                <c:pt idx="0">
                  <c:v>1</c:v>
                </c:pt>
                <c:pt idx="1">
                  <c:v>10</c:v>
                </c:pt>
                <c:pt idx="2">
                  <c:v>50</c:v>
                </c:pt>
                <c:pt idx="3">
                  <c:v>100</c:v>
                </c:pt>
                <c:pt idx="4">
                  <c:v>500</c:v>
                </c:pt>
                <c:pt idx="5">
                  <c:v>1000</c:v>
                </c:pt>
              </c:numCache>
            </c:numRef>
          </c:xVal>
          <c:yVal>
            <c:numRef>
              <c:f>Yeast_Sugar!$C$8:$C$13</c:f>
              <c:numCache>
                <c:ptCount val="6"/>
                <c:pt idx="0">
                  <c:v>0.016</c:v>
                </c:pt>
                <c:pt idx="1">
                  <c:v>0.16</c:v>
                </c:pt>
                <c:pt idx="2">
                  <c:v>0.8</c:v>
                </c:pt>
                <c:pt idx="3">
                  <c:v>1.6</c:v>
                </c:pt>
                <c:pt idx="4">
                  <c:v>8</c:v>
                </c:pt>
                <c:pt idx="5">
                  <c:v>16</c:v>
                </c:pt>
              </c:numCache>
            </c:numRef>
          </c:yVal>
          <c:smooth val="0"/>
        </c:ser>
        <c:ser>
          <c:idx val="4"/>
          <c:order val="4"/>
          <c:tx>
            <c:v>Bench Study Yeast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9"/>
            <c:spPr>
              <a:solidFill>
                <a:srgbClr val="99CCFF"/>
              </a:solidFill>
              <a:ln>
                <a:solidFill>
                  <a:srgbClr val="993366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Yeast_Sugar!$A$8:$A$13</c:f>
              <c:numCache>
                <c:ptCount val="6"/>
                <c:pt idx="0">
                  <c:v>1</c:v>
                </c:pt>
                <c:pt idx="1">
                  <c:v>10</c:v>
                </c:pt>
                <c:pt idx="2">
                  <c:v>50</c:v>
                </c:pt>
                <c:pt idx="3">
                  <c:v>100</c:v>
                </c:pt>
                <c:pt idx="4">
                  <c:v>500</c:v>
                </c:pt>
                <c:pt idx="5">
                  <c:v>1000</c:v>
                </c:pt>
              </c:numCache>
            </c:numRef>
          </c:xVal>
          <c:yVal>
            <c:numRef>
              <c:f>Yeast_Sugar!$E$8:$E$13</c:f>
              <c:numCache>
                <c:ptCount val="6"/>
                <c:pt idx="0">
                  <c:v>0.03</c:v>
                </c:pt>
                <c:pt idx="1">
                  <c:v>0.30000000000000004</c:v>
                </c:pt>
                <c:pt idx="2">
                  <c:v>1.5</c:v>
                </c:pt>
                <c:pt idx="3">
                  <c:v>3</c:v>
                </c:pt>
                <c:pt idx="4">
                  <c:v>15</c:v>
                </c:pt>
                <c:pt idx="5">
                  <c:v>30</c:v>
                </c:pt>
              </c:numCache>
            </c:numRef>
          </c:yVal>
          <c:smooth val="0"/>
        </c:ser>
        <c:ser>
          <c:idx val="5"/>
          <c:order val="5"/>
          <c:tx>
            <c:v>Myrtle Beach Yeast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9"/>
            <c:spPr>
              <a:solidFill>
                <a:srgbClr val="FFCC99"/>
              </a:solidFill>
              <a:ln>
                <a:solidFill>
                  <a:srgbClr val="90713A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Yeast_Sugar!$A$8:$A$13</c:f>
              <c:numCache>
                <c:ptCount val="6"/>
                <c:pt idx="0">
                  <c:v>1</c:v>
                </c:pt>
                <c:pt idx="1">
                  <c:v>10</c:v>
                </c:pt>
                <c:pt idx="2">
                  <c:v>50</c:v>
                </c:pt>
                <c:pt idx="3">
                  <c:v>100</c:v>
                </c:pt>
                <c:pt idx="4">
                  <c:v>500</c:v>
                </c:pt>
                <c:pt idx="5">
                  <c:v>1000</c:v>
                </c:pt>
              </c:numCache>
            </c:numRef>
          </c:xVal>
          <c:yVal>
            <c:numRef>
              <c:f>Yeast_Sugar!$G$8:$G$13</c:f>
              <c:numCache>
                <c:ptCount val="6"/>
                <c:pt idx="0">
                  <c:v>0.002</c:v>
                </c:pt>
                <c:pt idx="1">
                  <c:v>0.02</c:v>
                </c:pt>
                <c:pt idx="2">
                  <c:v>0.1</c:v>
                </c:pt>
                <c:pt idx="3">
                  <c:v>0.2</c:v>
                </c:pt>
                <c:pt idx="4">
                  <c:v>1</c:v>
                </c:pt>
                <c:pt idx="5">
                  <c:v>2</c:v>
                </c:pt>
              </c:numCache>
            </c:numRef>
          </c:yVal>
          <c:smooth val="0"/>
        </c:ser>
        <c:axId val="42393836"/>
        <c:axId val="46000205"/>
      </c:scatterChart>
      <c:valAx>
        <c:axId val="96369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Water (gallons)</a:t>
                </a:r>
              </a:p>
            </c:rich>
          </c:tx>
          <c:layout>
            <c:manualLayout>
              <c:xMode val="factor"/>
              <c:yMode val="factor"/>
              <c:x val="-0.003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623507"/>
        <c:crosses val="autoZero"/>
        <c:crossBetween val="midCat"/>
        <c:dispUnits/>
      </c:valAx>
      <c:valAx>
        <c:axId val="196235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Sugar (lbs)</a:t>
                </a:r>
              </a:p>
            </c:rich>
          </c:tx>
          <c:layout>
            <c:manualLayout>
              <c:xMode val="factor"/>
              <c:yMode val="factor"/>
              <c:x val="-0.005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636930"/>
        <c:crosses val="autoZero"/>
        <c:crossBetween val="midCat"/>
        <c:dispUnits/>
      </c:valAx>
      <c:valAx>
        <c:axId val="42393836"/>
        <c:scaling>
          <c:orientation val="minMax"/>
        </c:scaling>
        <c:axPos val="b"/>
        <c:delete val="1"/>
        <c:majorTickMark val="out"/>
        <c:minorTickMark val="none"/>
        <c:tickLblPos val="nextTo"/>
        <c:crossAx val="46000205"/>
        <c:crosses val="max"/>
        <c:crossBetween val="midCat"/>
        <c:dispUnits/>
      </c:valAx>
      <c:valAx>
        <c:axId val="460002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Yeast (oz)</a:t>
                </a:r>
              </a:p>
            </c:rich>
          </c:tx>
          <c:layout>
            <c:manualLayout>
              <c:xMode val="factor"/>
              <c:yMode val="factor"/>
              <c:x val="-0.003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393836"/>
        <c:crosses val="max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645"/>
          <c:y val="0.9315"/>
          <c:w val="0.85525"/>
          <c:h val="0.040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12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323850</xdr:colOff>
      <xdr:row>4</xdr:row>
      <xdr:rowOff>171450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8100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tabSelected="1" zoomScale="125" zoomScaleNormal="125" zoomScalePageLayoutView="0" workbookViewId="0" topLeftCell="A11">
      <selection activeCell="B28" sqref="B28"/>
    </sheetView>
  </sheetViews>
  <sheetFormatPr defaultColWidth="8.8515625" defaultRowHeight="12.75"/>
  <cols>
    <col min="1" max="1" width="52.28125" style="36" customWidth="1"/>
    <col min="2" max="2" width="12.00390625" style="36" customWidth="1"/>
    <col min="3" max="3" width="15.140625" style="36" customWidth="1"/>
    <col min="4" max="4" width="8.8515625" style="36" customWidth="1"/>
    <col min="5" max="5" width="13.140625" style="36" customWidth="1"/>
    <col min="6" max="6" width="9.140625" style="36" bestFit="1" customWidth="1"/>
    <col min="7" max="7" width="12.00390625" style="36" bestFit="1" customWidth="1"/>
    <col min="8" max="8" width="11.00390625" style="36" customWidth="1"/>
    <col min="9" max="9" width="18.00390625" style="36" customWidth="1"/>
    <col min="10" max="10" width="15.421875" style="36" customWidth="1"/>
    <col min="11" max="11" width="21.140625" style="36" customWidth="1"/>
    <col min="12" max="12" width="22.140625" style="36" customWidth="1"/>
    <col min="13" max="16384" width="8.8515625" style="36" customWidth="1"/>
  </cols>
  <sheetData>
    <row r="1" spans="1:3" ht="18.75">
      <c r="A1" s="55"/>
      <c r="B1" s="55"/>
      <c r="C1" s="55"/>
    </row>
    <row r="2" spans="1:3" ht="18.75">
      <c r="A2" s="55"/>
      <c r="B2" s="55"/>
      <c r="C2" s="55"/>
    </row>
    <row r="3" spans="1:3" ht="18.75">
      <c r="A3" s="55"/>
      <c r="B3" s="55"/>
      <c r="C3" s="55"/>
    </row>
    <row r="4" spans="1:3" ht="18.75">
      <c r="A4" s="46"/>
      <c r="B4" s="46"/>
      <c r="C4" s="46"/>
    </row>
    <row r="5" spans="1:3" ht="18.75">
      <c r="A5" s="46"/>
      <c r="B5" s="46"/>
      <c r="C5" s="46"/>
    </row>
    <row r="6" spans="1:3" ht="18.75">
      <c r="A6" s="46"/>
      <c r="B6" s="46"/>
      <c r="C6" s="46"/>
    </row>
    <row r="7" spans="1:9" ht="18.75">
      <c r="A7" s="34" t="s">
        <v>171</v>
      </c>
      <c r="F7" s="37"/>
      <c r="G7" s="38" t="s">
        <v>32</v>
      </c>
      <c r="I7" s="39" t="s">
        <v>42</v>
      </c>
    </row>
    <row r="8" spans="1:12" ht="18.75">
      <c r="A8" s="34"/>
      <c r="F8" s="40"/>
      <c r="G8" s="41" t="s">
        <v>33</v>
      </c>
      <c r="K8" s="46" t="s">
        <v>166</v>
      </c>
      <c r="L8" s="36" t="s">
        <v>168</v>
      </c>
    </row>
    <row r="9" spans="1:12" ht="18.75">
      <c r="A9" s="34"/>
      <c r="F9" s="42"/>
      <c r="G9" s="41" t="s">
        <v>69</v>
      </c>
      <c r="I9" s="46" t="s">
        <v>164</v>
      </c>
      <c r="J9" s="46" t="s">
        <v>165</v>
      </c>
      <c r="K9" s="46" t="s">
        <v>167</v>
      </c>
      <c r="L9" s="46" t="s">
        <v>167</v>
      </c>
    </row>
    <row r="10" spans="1:12" ht="18.75">
      <c r="A10" s="53" t="s">
        <v>173</v>
      </c>
      <c r="I10" s="51">
        <v>5</v>
      </c>
      <c r="J10" s="52">
        <f aca="true" t="shared" si="0" ref="J10:J15">9/5*I10+32</f>
        <v>41</v>
      </c>
      <c r="K10" s="51">
        <v>12.7</v>
      </c>
      <c r="L10" s="51">
        <v>12.3</v>
      </c>
    </row>
    <row r="11" spans="1:12" ht="18.75">
      <c r="A11" s="36" t="s">
        <v>174</v>
      </c>
      <c r="B11" s="43">
        <v>500</v>
      </c>
      <c r="C11" s="36" t="s">
        <v>159</v>
      </c>
      <c r="I11" s="51">
        <v>10</v>
      </c>
      <c r="J11" s="52">
        <f t="shared" si="0"/>
        <v>50</v>
      </c>
      <c r="K11" s="51">
        <v>11.3</v>
      </c>
      <c r="L11" s="51">
        <v>10.9</v>
      </c>
    </row>
    <row r="12" spans="1:12" ht="20.25">
      <c r="A12" s="36" t="s">
        <v>175</v>
      </c>
      <c r="B12" s="43">
        <v>8</v>
      </c>
      <c r="C12" s="36" t="s">
        <v>161</v>
      </c>
      <c r="D12" s="36" t="s">
        <v>158</v>
      </c>
      <c r="I12" s="51">
        <v>15</v>
      </c>
      <c r="J12" s="52">
        <f t="shared" si="0"/>
        <v>59</v>
      </c>
      <c r="K12" s="51">
        <v>10.1</v>
      </c>
      <c r="L12" s="51">
        <v>9.7</v>
      </c>
    </row>
    <row r="13" spans="1:12" ht="18.75">
      <c r="A13" s="36" t="s">
        <v>176</v>
      </c>
      <c r="B13" s="43">
        <v>2</v>
      </c>
      <c r="C13" s="36" t="s">
        <v>115</v>
      </c>
      <c r="D13" s="36" t="s">
        <v>154</v>
      </c>
      <c r="I13" s="51">
        <v>20</v>
      </c>
      <c r="J13" s="52">
        <f t="shared" si="0"/>
        <v>68</v>
      </c>
      <c r="K13" s="51">
        <v>9.1</v>
      </c>
      <c r="L13" s="51">
        <v>8.8</v>
      </c>
    </row>
    <row r="14" spans="1:12" ht="20.25">
      <c r="A14" s="36" t="s">
        <v>177</v>
      </c>
      <c r="B14" s="43">
        <v>1</v>
      </c>
      <c r="C14" s="36" t="s">
        <v>162</v>
      </c>
      <c r="D14" s="36" t="s">
        <v>155</v>
      </c>
      <c r="F14" s="44"/>
      <c r="G14" s="41"/>
      <c r="I14" s="51">
        <v>25</v>
      </c>
      <c r="J14" s="52">
        <f t="shared" si="0"/>
        <v>77</v>
      </c>
      <c r="K14" s="51">
        <v>8.2</v>
      </c>
      <c r="L14" s="51">
        <v>8</v>
      </c>
    </row>
    <row r="15" spans="1:12" ht="18.75">
      <c r="A15" s="36" t="s">
        <v>156</v>
      </c>
      <c r="B15" s="45">
        <v>1</v>
      </c>
      <c r="C15" s="36" t="s">
        <v>169</v>
      </c>
      <c r="I15" s="51">
        <v>30</v>
      </c>
      <c r="J15" s="52">
        <f t="shared" si="0"/>
        <v>86</v>
      </c>
      <c r="K15" s="51">
        <v>7.5</v>
      </c>
      <c r="L15" s="51">
        <v>7.3</v>
      </c>
    </row>
    <row r="16" spans="9:12" ht="18.75">
      <c r="I16" s="44"/>
      <c r="J16" s="44"/>
      <c r="K16" s="44"/>
      <c r="L16" s="44"/>
    </row>
    <row r="17" spans="9:12" ht="18.75">
      <c r="I17" s="44"/>
      <c r="J17" s="44"/>
      <c r="K17" s="44"/>
      <c r="L17" s="44"/>
    </row>
    <row r="18" spans="1:12" ht="20.25">
      <c r="A18" s="53" t="s">
        <v>172</v>
      </c>
      <c r="B18" s="46" t="s">
        <v>153</v>
      </c>
      <c r="C18" s="46" t="s">
        <v>114</v>
      </c>
      <c r="D18" s="46" t="s">
        <v>163</v>
      </c>
      <c r="E18" s="47" t="s">
        <v>160</v>
      </c>
      <c r="G18" s="36" t="s">
        <v>182</v>
      </c>
      <c r="I18" s="44"/>
      <c r="J18" s="44"/>
      <c r="K18" s="44"/>
      <c r="L18" s="44"/>
    </row>
    <row r="19" spans="1:12" ht="18.75">
      <c r="A19" s="36" t="s">
        <v>178</v>
      </c>
      <c r="B19" s="48">
        <f>'ox scavenge metsabisulfite'!F22</f>
        <v>0.198661815</v>
      </c>
      <c r="C19" s="48">
        <f>'free chlorine metabisulfite'!F22</f>
        <v>0.030272276571428572</v>
      </c>
      <c r="D19" s="48">
        <f>'chloramine metabisulfite'!F22</f>
        <v>0.007715021941747572</v>
      </c>
      <c r="E19" s="49">
        <f>B19+C19+D19</f>
        <v>0.23664911351317616</v>
      </c>
      <c r="G19" s="50">
        <f>'free chlorine metabisulfite'!H26+'chloramine metabisulfite'!H26+'ox scavenge metsabisulfite'!H26</f>
        <v>217.27778085991676</v>
      </c>
      <c r="H19" s="36" t="s">
        <v>138</v>
      </c>
      <c r="I19" s="44"/>
      <c r="J19" s="44"/>
      <c r="K19" s="44"/>
      <c r="L19" s="44"/>
    </row>
    <row r="20" spans="1:12" ht="18.75">
      <c r="A20" s="36" t="s">
        <v>179</v>
      </c>
      <c r="B20" s="48">
        <f>'ox scavenge sulfite'!F22</f>
        <v>0.26333999999999996</v>
      </c>
      <c r="C20" s="48">
        <f>'free chlorine sulfite'!F22</f>
        <v>0.020064</v>
      </c>
      <c r="D20" s="48">
        <f>'chloramine sulfite '!F22</f>
        <v>0.010226796116504856</v>
      </c>
      <c r="E20" s="49">
        <f>B20+C20+D20</f>
        <v>0.29363079611650483</v>
      </c>
      <c r="G20" s="50">
        <f>'free chlorine sulfite'!H26+'chloramine sulfite '!H26+'ox scavenge sulfite'!H26</f>
        <v>203.3806380027739</v>
      </c>
      <c r="H20" s="36" t="s">
        <v>138</v>
      </c>
      <c r="I20" s="44"/>
      <c r="J20" s="44"/>
      <c r="K20" s="44"/>
      <c r="L20" s="44"/>
    </row>
    <row r="21" spans="1:12" ht="18.75">
      <c r="A21" s="36" t="s">
        <v>180</v>
      </c>
      <c r="B21" s="48">
        <f>'ox scavenge ascorbic'!F23</f>
        <v>0.3680908</v>
      </c>
      <c r="C21" s="48">
        <f>'free chlorine ascorbic'!F23</f>
        <v>0.014294788349514564</v>
      </c>
      <c r="D21" s="48">
        <f>'chloramine ascorbic'!F23</f>
        <v>0.014294788349514564</v>
      </c>
      <c r="E21" s="49">
        <f>B21+C21+D21</f>
        <v>0.39668037669902917</v>
      </c>
      <c r="I21" s="44"/>
      <c r="J21" s="44"/>
      <c r="K21" s="44"/>
      <c r="L21" s="44"/>
    </row>
    <row r="22" spans="1:12" ht="18.75">
      <c r="A22" s="36" t="s">
        <v>181</v>
      </c>
      <c r="B22" s="48">
        <f>B21*198/176</f>
        <v>0.41410214999999995</v>
      </c>
      <c r="C22" s="48">
        <f>C21*198/176</f>
        <v>0.016081636893203886</v>
      </c>
      <c r="D22" s="48">
        <f>D21*198/176</f>
        <v>0.016081636893203886</v>
      </c>
      <c r="E22" s="49">
        <f>E21*198/176</f>
        <v>0.44626542378640777</v>
      </c>
      <c r="I22" s="44"/>
      <c r="J22" s="44"/>
      <c r="K22" s="44"/>
      <c r="L22" s="44"/>
    </row>
    <row r="23" spans="9:12" ht="18.75">
      <c r="I23" s="44"/>
      <c r="J23" s="44"/>
      <c r="K23" s="44"/>
      <c r="L23" s="44"/>
    </row>
    <row r="24" spans="9:12" ht="18.75">
      <c r="I24" s="44"/>
      <c r="J24" s="44"/>
      <c r="K24" s="44"/>
      <c r="L24" s="44"/>
    </row>
    <row r="25" spans="1:12" ht="18.75">
      <c r="A25" s="36" t="s">
        <v>170</v>
      </c>
      <c r="I25" s="44"/>
      <c r="J25" s="44"/>
      <c r="K25" s="44"/>
      <c r="L25" s="44"/>
    </row>
    <row r="26" spans="9:12" ht="18.75">
      <c r="I26" s="44"/>
      <c r="J26" s="44"/>
      <c r="K26" s="44"/>
      <c r="L26" s="44"/>
    </row>
    <row r="27" spans="1:12" ht="18.75">
      <c r="A27" s="35" t="s">
        <v>183</v>
      </c>
      <c r="I27" s="44"/>
      <c r="J27" s="44"/>
      <c r="K27" s="44"/>
      <c r="L27" s="44"/>
    </row>
    <row r="29" ht="18.75">
      <c r="A29" s="54" t="s">
        <v>184</v>
      </c>
    </row>
    <row r="30" ht="18.75">
      <c r="A30" s="54" t="s">
        <v>185</v>
      </c>
    </row>
  </sheetData>
  <sheetProtection/>
  <mergeCells count="1">
    <mergeCell ref="A1:C3"/>
  </mergeCells>
  <printOptions/>
  <pageMargins left="0.75" right="0.75" top="1" bottom="1" header="0.5" footer="0.5"/>
  <pageSetup fitToHeight="1" fitToWidth="1" horizontalDpi="600" verticalDpi="600" orientation="landscape" scale="8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0"/>
  <sheetViews>
    <sheetView zoomScale="125" zoomScaleNormal="125" zoomScalePageLayoutView="0" workbookViewId="0" topLeftCell="A1">
      <selection activeCell="D27" sqref="D27"/>
    </sheetView>
  </sheetViews>
  <sheetFormatPr defaultColWidth="8.8515625" defaultRowHeight="12.75"/>
  <cols>
    <col min="1" max="1" width="9.8515625" style="0" customWidth="1"/>
    <col min="2" max="5" width="8.8515625" style="0" customWidth="1"/>
    <col min="6" max="6" width="9.140625" style="0" bestFit="1" customWidth="1"/>
    <col min="7" max="7" width="12.00390625" style="0" bestFit="1" customWidth="1"/>
    <col min="8" max="10" width="8.8515625" style="0" customWidth="1"/>
    <col min="11" max="11" width="9.8515625" style="0" customWidth="1"/>
    <col min="12" max="12" width="9.421875" style="0" customWidth="1"/>
  </cols>
  <sheetData>
    <row r="1" spans="1:11" ht="18">
      <c r="A1" s="22" t="s">
        <v>0</v>
      </c>
      <c r="F1" s="1"/>
      <c r="G1" s="7" t="s">
        <v>32</v>
      </c>
      <c r="K1" s="11" t="s">
        <v>42</v>
      </c>
    </row>
    <row r="2" spans="1:14" ht="15.75">
      <c r="A2" s="6"/>
      <c r="F2" s="2"/>
      <c r="G2" s="8" t="s">
        <v>33</v>
      </c>
      <c r="M2" t="s">
        <v>46</v>
      </c>
      <c r="N2" t="s">
        <v>47</v>
      </c>
    </row>
    <row r="3" spans="1:14" ht="15.75">
      <c r="A3" s="6"/>
      <c r="F3" s="15"/>
      <c r="G3" s="8" t="s">
        <v>69</v>
      </c>
      <c r="K3" t="s">
        <v>43</v>
      </c>
      <c r="L3" t="s">
        <v>44</v>
      </c>
      <c r="M3" t="s">
        <v>45</v>
      </c>
      <c r="N3" t="s">
        <v>45</v>
      </c>
    </row>
    <row r="4" spans="11:14" ht="12.75">
      <c r="K4" s="15">
        <v>5</v>
      </c>
      <c r="L4" s="9">
        <f aca="true" t="shared" si="0" ref="L4:L9">9/5*K4+32</f>
        <v>41</v>
      </c>
      <c r="M4" s="15">
        <v>12.7</v>
      </c>
      <c r="N4" s="15">
        <v>12.3</v>
      </c>
    </row>
    <row r="5" spans="11:14" ht="12.75">
      <c r="K5" s="15">
        <v>10</v>
      </c>
      <c r="L5" s="9">
        <f t="shared" si="0"/>
        <v>50</v>
      </c>
      <c r="M5" s="15">
        <v>11.3</v>
      </c>
      <c r="N5" s="15">
        <v>10.9</v>
      </c>
    </row>
    <row r="6" spans="1:14" ht="15.75">
      <c r="A6" t="s">
        <v>30</v>
      </c>
      <c r="D6">
        <v>678</v>
      </c>
      <c r="E6" t="s">
        <v>22</v>
      </c>
      <c r="F6">
        <v>5.67</v>
      </c>
      <c r="G6" t="s">
        <v>23</v>
      </c>
      <c r="K6" s="15">
        <v>15</v>
      </c>
      <c r="L6" s="9">
        <f t="shared" si="0"/>
        <v>59</v>
      </c>
      <c r="M6" s="15">
        <v>10.1</v>
      </c>
      <c r="N6" s="15">
        <v>9.7</v>
      </c>
    </row>
    <row r="7" spans="1:14" ht="15.75">
      <c r="A7" t="s">
        <v>29</v>
      </c>
      <c r="D7">
        <v>50</v>
      </c>
      <c r="E7" t="s">
        <v>22</v>
      </c>
      <c r="F7">
        <v>0.42</v>
      </c>
      <c r="G7" t="s">
        <v>23</v>
      </c>
      <c r="K7" s="15">
        <v>20</v>
      </c>
      <c r="L7" s="9">
        <f t="shared" si="0"/>
        <v>68</v>
      </c>
      <c r="M7" s="15">
        <v>9.1</v>
      </c>
      <c r="N7" s="15">
        <v>8.8</v>
      </c>
    </row>
    <row r="8" spans="1:14" ht="15.75">
      <c r="A8" s="6"/>
      <c r="F8" s="3"/>
      <c r="G8" s="8"/>
      <c r="K8" s="15">
        <v>25</v>
      </c>
      <c r="L8" s="9">
        <f t="shared" si="0"/>
        <v>77</v>
      </c>
      <c r="M8" s="15">
        <v>8.2</v>
      </c>
      <c r="N8" s="15">
        <v>8</v>
      </c>
    </row>
    <row r="9" spans="11:14" ht="12.75">
      <c r="K9" s="15">
        <v>30</v>
      </c>
      <c r="L9" s="9">
        <f t="shared" si="0"/>
        <v>86</v>
      </c>
      <c r="M9" s="15">
        <v>7.5</v>
      </c>
      <c r="N9" s="15">
        <v>7.3</v>
      </c>
    </row>
    <row r="10" spans="1:3" ht="12.75">
      <c r="A10" s="23" t="s">
        <v>1</v>
      </c>
      <c r="C10" t="s">
        <v>17</v>
      </c>
    </row>
    <row r="11" ht="15.75">
      <c r="A11" t="s">
        <v>26</v>
      </c>
    </row>
    <row r="12" ht="12.75">
      <c r="E12" t="s">
        <v>105</v>
      </c>
    </row>
    <row r="13" spans="1:8" ht="15.75">
      <c r="A13" t="s">
        <v>28</v>
      </c>
      <c r="B13">
        <v>126</v>
      </c>
      <c r="C13" t="s">
        <v>2</v>
      </c>
      <c r="F13" t="s">
        <v>106</v>
      </c>
      <c r="G13">
        <f>14+2+35.5</f>
        <v>51.5</v>
      </c>
      <c r="H13" t="s">
        <v>2</v>
      </c>
    </row>
    <row r="14" spans="1:8" ht="15.75">
      <c r="A14" t="s">
        <v>109</v>
      </c>
      <c r="B14">
        <v>32</v>
      </c>
      <c r="C14" t="s">
        <v>2</v>
      </c>
      <c r="F14" t="s">
        <v>107</v>
      </c>
      <c r="G14">
        <f>14+1+2*35.5</f>
        <v>86</v>
      </c>
      <c r="H14" t="s">
        <v>2</v>
      </c>
    </row>
    <row r="15" spans="1:8" ht="15.75">
      <c r="A15" t="s">
        <v>110</v>
      </c>
      <c r="B15">
        <v>96</v>
      </c>
      <c r="C15" t="s">
        <v>2</v>
      </c>
      <c r="F15" t="s">
        <v>108</v>
      </c>
      <c r="G15">
        <f>14+3*35.5</f>
        <v>120.5</v>
      </c>
      <c r="H15" t="s">
        <v>2</v>
      </c>
    </row>
    <row r="16" spans="1:3" ht="12.75">
      <c r="A16" t="s">
        <v>24</v>
      </c>
      <c r="B16">
        <v>55.847</v>
      </c>
      <c r="C16" t="s">
        <v>2</v>
      </c>
    </row>
    <row r="18" spans="1:11" ht="15.75">
      <c r="A18" t="s">
        <v>11</v>
      </c>
      <c r="B18" s="10">
        <f>'ox scavenge Main'!B11</f>
        <v>500</v>
      </c>
      <c r="C18" t="s">
        <v>5</v>
      </c>
      <c r="D18" s="9">
        <f>3.8*B18</f>
        <v>1900</v>
      </c>
      <c r="E18" t="s">
        <v>6</v>
      </c>
      <c r="F18" s="1">
        <f>'ox scavenge Main'!B12</f>
        <v>8</v>
      </c>
      <c r="G18" t="s">
        <v>37</v>
      </c>
      <c r="K18" s="26"/>
    </row>
    <row r="19" ht="12.75">
      <c r="K19" s="21"/>
    </row>
    <row r="20" spans="1:7" ht="15.75">
      <c r="A20" t="s">
        <v>12</v>
      </c>
      <c r="B20" s="2">
        <f>F18*D18</f>
        <v>15200</v>
      </c>
      <c r="C20" t="s">
        <v>35</v>
      </c>
      <c r="D20" s="2">
        <f>B20/1000</f>
        <v>15.2</v>
      </c>
      <c r="E20" t="s">
        <v>36</v>
      </c>
      <c r="F20" s="2">
        <f>D20/B14</f>
        <v>0.475</v>
      </c>
      <c r="G20" t="s">
        <v>38</v>
      </c>
    </row>
    <row r="22" spans="1:13" ht="18">
      <c r="A22" t="s">
        <v>13</v>
      </c>
      <c r="B22" s="2">
        <f>2*F20</f>
        <v>0.95</v>
      </c>
      <c r="C22" t="s">
        <v>7</v>
      </c>
      <c r="D22" s="2">
        <f>B22*B13</f>
        <v>119.69999999999999</v>
      </c>
      <c r="E22" t="s">
        <v>8</v>
      </c>
      <c r="F22" s="33">
        <f>2.2*D22/1000</f>
        <v>0.26333999999999996</v>
      </c>
      <c r="G22" s="6" t="s">
        <v>104</v>
      </c>
      <c r="I22" s="30">
        <f>B18</f>
        <v>500</v>
      </c>
      <c r="J22" s="27" t="s">
        <v>77</v>
      </c>
      <c r="L22" s="28">
        <f>D22/D18*1000</f>
        <v>63</v>
      </c>
      <c r="M22" t="s">
        <v>138</v>
      </c>
    </row>
    <row r="23" spans="6:7" ht="12.75">
      <c r="F23" s="32">
        <f>F22*16</f>
        <v>4.213439999999999</v>
      </c>
      <c r="G23" t="s">
        <v>139</v>
      </c>
    </row>
    <row r="24" spans="1:6" ht="12.75">
      <c r="A24" t="s">
        <v>14</v>
      </c>
      <c r="B24" s="2">
        <f>B22*B15</f>
        <v>91.19999999999999</v>
      </c>
      <c r="C24" t="s">
        <v>10</v>
      </c>
      <c r="D24" s="2">
        <f>B24*1000/D18</f>
        <v>47.99999999999999</v>
      </c>
      <c r="E24" t="s">
        <v>15</v>
      </c>
      <c r="F24" s="3" t="s">
        <v>18</v>
      </c>
    </row>
    <row r="26" spans="1:9" ht="12.75">
      <c r="A26" t="s">
        <v>19</v>
      </c>
      <c r="D26" s="4">
        <f>'ox scavenge Main'!B15</f>
        <v>1</v>
      </c>
      <c r="E26" t="s">
        <v>20</v>
      </c>
      <c r="H26" s="2">
        <f>B24*1000/(B18/D26)</f>
        <v>182.39999999999998</v>
      </c>
      <c r="I26" t="s">
        <v>34</v>
      </c>
    </row>
    <row r="28" ht="12.75">
      <c r="A28" t="s">
        <v>31</v>
      </c>
    </row>
    <row r="30" spans="1:11" ht="12.75">
      <c r="A30" t="s">
        <v>21</v>
      </c>
      <c r="K30" s="11"/>
    </row>
  </sheetData>
  <sheetProtection/>
  <printOptions/>
  <pageMargins left="0.75" right="0.75" top="1" bottom="1" header="0.5" footer="0.5"/>
  <pageSetup fitToHeight="1" fitToWidth="1" horizontalDpi="600" verticalDpi="600" orientation="landscape" scale="8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65"/>
  <sheetViews>
    <sheetView zoomScale="125" zoomScaleNormal="125" zoomScalePageLayoutView="0" workbookViewId="0" topLeftCell="A1">
      <selection activeCell="B19" sqref="B19"/>
    </sheetView>
  </sheetViews>
  <sheetFormatPr defaultColWidth="8.8515625" defaultRowHeight="12.75"/>
  <cols>
    <col min="1" max="1" width="9.8515625" style="0" customWidth="1"/>
    <col min="2" max="6" width="8.8515625" style="0" customWidth="1"/>
    <col min="7" max="7" width="12.00390625" style="0" bestFit="1" customWidth="1"/>
    <col min="8" max="10" width="8.8515625" style="0" customWidth="1"/>
    <col min="11" max="11" width="9.8515625" style="0" customWidth="1"/>
    <col min="12" max="12" width="9.421875" style="0" customWidth="1"/>
  </cols>
  <sheetData>
    <row r="1" spans="1:11" ht="18">
      <c r="A1" s="22" t="s">
        <v>0</v>
      </c>
      <c r="F1" s="1"/>
      <c r="G1" s="7" t="s">
        <v>32</v>
      </c>
      <c r="K1" s="11" t="s">
        <v>42</v>
      </c>
    </row>
    <row r="2" spans="1:14" ht="15.75">
      <c r="A2" s="6"/>
      <c r="F2" s="2"/>
      <c r="G2" s="8" t="s">
        <v>33</v>
      </c>
      <c r="M2" t="s">
        <v>46</v>
      </c>
      <c r="N2" t="s">
        <v>47</v>
      </c>
    </row>
    <row r="3" spans="1:14" ht="15.75">
      <c r="A3" s="6"/>
      <c r="F3" s="15"/>
      <c r="G3" s="8" t="s">
        <v>69</v>
      </c>
      <c r="K3" t="s">
        <v>43</v>
      </c>
      <c r="L3" t="s">
        <v>44</v>
      </c>
      <c r="M3" t="s">
        <v>45</v>
      </c>
      <c r="N3" t="s">
        <v>45</v>
      </c>
    </row>
    <row r="4" spans="1:14" ht="12.75">
      <c r="A4" t="s">
        <v>16</v>
      </c>
      <c r="K4" s="15">
        <v>5</v>
      </c>
      <c r="L4" s="9">
        <f aca="true" t="shared" si="0" ref="L4:L9">9/5*K4+32</f>
        <v>41</v>
      </c>
      <c r="M4" s="15">
        <v>12.7</v>
      </c>
      <c r="N4" s="15">
        <v>12.3</v>
      </c>
    </row>
    <row r="5" spans="11:14" ht="12.75">
      <c r="K5" s="15">
        <v>10</v>
      </c>
      <c r="L5" s="9">
        <f t="shared" si="0"/>
        <v>50</v>
      </c>
      <c r="M5" s="15">
        <v>11.3</v>
      </c>
      <c r="N5" s="15">
        <v>10.9</v>
      </c>
    </row>
    <row r="6" spans="1:14" ht="15.75">
      <c r="A6" t="s">
        <v>30</v>
      </c>
      <c r="D6">
        <v>678</v>
      </c>
      <c r="E6" t="s">
        <v>22</v>
      </c>
      <c r="F6">
        <v>5.67</v>
      </c>
      <c r="G6" t="s">
        <v>23</v>
      </c>
      <c r="K6" s="15">
        <v>15</v>
      </c>
      <c r="L6" s="9">
        <f t="shared" si="0"/>
        <v>59</v>
      </c>
      <c r="M6" s="15">
        <v>10.1</v>
      </c>
      <c r="N6" s="15">
        <v>9.7</v>
      </c>
    </row>
    <row r="7" spans="1:14" ht="15.75">
      <c r="A7" t="s">
        <v>29</v>
      </c>
      <c r="D7">
        <v>50</v>
      </c>
      <c r="E7" t="s">
        <v>22</v>
      </c>
      <c r="F7">
        <v>0.42</v>
      </c>
      <c r="G7" t="s">
        <v>23</v>
      </c>
      <c r="K7" s="15">
        <v>20</v>
      </c>
      <c r="L7" s="9">
        <f t="shared" si="0"/>
        <v>68</v>
      </c>
      <c r="M7" s="15">
        <v>9.1</v>
      </c>
      <c r="N7" s="15">
        <v>8.8</v>
      </c>
    </row>
    <row r="8" spans="1:14" ht="15.75">
      <c r="A8" s="6"/>
      <c r="F8" s="3"/>
      <c r="G8" s="8"/>
      <c r="K8" s="15">
        <v>25</v>
      </c>
      <c r="L8" s="9">
        <f t="shared" si="0"/>
        <v>77</v>
      </c>
      <c r="M8" s="15">
        <v>8.2</v>
      </c>
      <c r="N8" s="15">
        <v>8</v>
      </c>
    </row>
    <row r="9" spans="11:14" ht="12.75">
      <c r="K9" s="15">
        <v>30</v>
      </c>
      <c r="L9" s="9">
        <f t="shared" si="0"/>
        <v>86</v>
      </c>
      <c r="M9" s="15">
        <v>7.5</v>
      </c>
      <c r="N9" s="15">
        <v>7.3</v>
      </c>
    </row>
    <row r="10" spans="1:3" ht="12.75">
      <c r="A10" s="23" t="s">
        <v>1</v>
      </c>
      <c r="C10" t="s">
        <v>17</v>
      </c>
    </row>
    <row r="11" ht="15.75">
      <c r="A11" t="s">
        <v>26</v>
      </c>
    </row>
    <row r="13" spans="1:3" ht="15.75">
      <c r="A13" t="s">
        <v>28</v>
      </c>
      <c r="B13">
        <v>126</v>
      </c>
      <c r="C13" t="s">
        <v>2</v>
      </c>
    </row>
    <row r="14" spans="1:3" ht="12.75">
      <c r="A14" t="s">
        <v>3</v>
      </c>
      <c r="B14">
        <v>32</v>
      </c>
      <c r="C14" t="s">
        <v>2</v>
      </c>
    </row>
    <row r="15" spans="1:3" ht="12.75">
      <c r="A15" t="s">
        <v>4</v>
      </c>
      <c r="B15">
        <v>96</v>
      </c>
      <c r="C15" t="s">
        <v>2</v>
      </c>
    </row>
    <row r="16" spans="1:3" ht="12.75">
      <c r="A16" t="s">
        <v>24</v>
      </c>
      <c r="B16">
        <v>55.847</v>
      </c>
      <c r="C16" t="s">
        <v>2</v>
      </c>
    </row>
    <row r="17" ht="12.75">
      <c r="I17" t="s">
        <v>71</v>
      </c>
    </row>
    <row r="18" spans="1:12" ht="15.75">
      <c r="A18" t="s">
        <v>11</v>
      </c>
      <c r="B18" s="10">
        <v>500</v>
      </c>
      <c r="C18" t="s">
        <v>5</v>
      </c>
      <c r="D18" s="9">
        <f>3.8*B18</f>
        <v>1900</v>
      </c>
      <c r="E18" t="s">
        <v>6</v>
      </c>
      <c r="F18" s="1">
        <v>8</v>
      </c>
      <c r="G18" t="s">
        <v>37</v>
      </c>
      <c r="I18" t="s">
        <v>78</v>
      </c>
      <c r="K18" s="17">
        <v>0.75</v>
      </c>
      <c r="L18" t="s">
        <v>72</v>
      </c>
    </row>
    <row r="19" ht="12.75">
      <c r="K19" s="21"/>
    </row>
    <row r="20" spans="1:7" ht="15.75">
      <c r="A20" t="s">
        <v>12</v>
      </c>
      <c r="B20" s="2">
        <f>F18*D18</f>
        <v>15200</v>
      </c>
      <c r="C20" t="s">
        <v>35</v>
      </c>
      <c r="D20" s="2">
        <f>B20/1000</f>
        <v>15.2</v>
      </c>
      <c r="E20" t="s">
        <v>36</v>
      </c>
      <c r="F20" s="2">
        <f>D20/B14</f>
        <v>0.475</v>
      </c>
      <c r="G20" t="s">
        <v>38</v>
      </c>
    </row>
    <row r="21" ht="12.75">
      <c r="J21" t="s">
        <v>75</v>
      </c>
    </row>
    <row r="22" spans="1:13" ht="15.75">
      <c r="A22" t="s">
        <v>13</v>
      </c>
      <c r="B22" s="2">
        <f>2*F20</f>
        <v>0.95</v>
      </c>
      <c r="C22" t="s">
        <v>7</v>
      </c>
      <c r="D22" s="2">
        <f>B22*B13</f>
        <v>119.69999999999999</v>
      </c>
      <c r="E22" t="s">
        <v>8</v>
      </c>
      <c r="F22" s="2">
        <f>2.2*D22/1000</f>
        <v>0.26333999999999996</v>
      </c>
      <c r="G22" t="s">
        <v>9</v>
      </c>
      <c r="H22" t="s">
        <v>1</v>
      </c>
      <c r="J22" s="19">
        <f>F22*K18</f>
        <v>0.197505</v>
      </c>
      <c r="K22" t="s">
        <v>76</v>
      </c>
      <c r="L22" s="20">
        <f>B18</f>
        <v>500</v>
      </c>
      <c r="M22" t="s">
        <v>77</v>
      </c>
    </row>
    <row r="24" spans="1:6" ht="12.75">
      <c r="A24" t="s">
        <v>14</v>
      </c>
      <c r="B24" s="2">
        <f>B22*B15</f>
        <v>91.19999999999999</v>
      </c>
      <c r="C24" t="s">
        <v>10</v>
      </c>
      <c r="D24" s="2">
        <f>B24*1000/D18</f>
        <v>47.99999999999999</v>
      </c>
      <c r="E24" t="s">
        <v>15</v>
      </c>
      <c r="F24" s="3" t="s">
        <v>18</v>
      </c>
    </row>
    <row r="26" spans="1:9" ht="12.75">
      <c r="A26" t="s">
        <v>19</v>
      </c>
      <c r="D26" s="4">
        <v>0.1</v>
      </c>
      <c r="E26" t="s">
        <v>20</v>
      </c>
      <c r="H26" s="2">
        <f>B24*1000/(B18/D26)</f>
        <v>18.24</v>
      </c>
      <c r="I26" t="s">
        <v>34</v>
      </c>
    </row>
    <row r="28" ht="12.75">
      <c r="A28" t="s">
        <v>31</v>
      </c>
    </row>
    <row r="30" spans="1:11" ht="12.75">
      <c r="A30" t="s">
        <v>21</v>
      </c>
      <c r="K30" s="11"/>
    </row>
    <row r="33" ht="12.75">
      <c r="A33" s="23" t="s">
        <v>27</v>
      </c>
    </row>
    <row r="34" ht="15.75">
      <c r="A34" t="s">
        <v>25</v>
      </c>
    </row>
    <row r="35" ht="12.75">
      <c r="I35" t="s">
        <v>71</v>
      </c>
    </row>
    <row r="36" spans="1:12" ht="15.75">
      <c r="A36" t="s">
        <v>11</v>
      </c>
      <c r="B36" s="10">
        <v>500</v>
      </c>
      <c r="C36" t="s">
        <v>5</v>
      </c>
      <c r="D36" s="9">
        <f>3.8*B36</f>
        <v>1900</v>
      </c>
      <c r="E36" t="s">
        <v>6</v>
      </c>
      <c r="F36" s="1">
        <v>8</v>
      </c>
      <c r="G36" t="s">
        <v>37</v>
      </c>
      <c r="I36" t="s">
        <v>79</v>
      </c>
      <c r="K36" s="17">
        <v>0.5</v>
      </c>
      <c r="L36" t="s">
        <v>72</v>
      </c>
    </row>
    <row r="37" ht="12.75">
      <c r="K37" s="21"/>
    </row>
    <row r="38" spans="1:7" ht="15.75">
      <c r="A38" t="s">
        <v>12</v>
      </c>
      <c r="B38" s="2">
        <f>F36*D36</f>
        <v>15200</v>
      </c>
      <c r="C38" t="s">
        <v>35</v>
      </c>
      <c r="D38" s="2">
        <f>B38/1000</f>
        <v>15.2</v>
      </c>
      <c r="E38" t="s">
        <v>36</v>
      </c>
      <c r="F38" s="2">
        <f>D38/B14</f>
        <v>0.475</v>
      </c>
      <c r="G38" t="s">
        <v>38</v>
      </c>
    </row>
    <row r="39" ht="12.75">
      <c r="J39" t="s">
        <v>75</v>
      </c>
    </row>
    <row r="40" spans="1:13" ht="15.75">
      <c r="A40" t="s">
        <v>13</v>
      </c>
      <c r="B40" s="2">
        <f>2*F38</f>
        <v>0.95</v>
      </c>
      <c r="C40" t="s">
        <v>7</v>
      </c>
      <c r="D40" s="2">
        <f>B40*B16</f>
        <v>53.05465</v>
      </c>
      <c r="E40" t="s">
        <v>8</v>
      </c>
      <c r="F40" s="2">
        <f>2.2*D40/1000</f>
        <v>0.11672023000000001</v>
      </c>
      <c r="G40" t="s">
        <v>9</v>
      </c>
      <c r="H40" t="s">
        <v>39</v>
      </c>
      <c r="J40" s="19">
        <f>F40*K36</f>
        <v>0.058360115000000004</v>
      </c>
      <c r="K40" t="s">
        <v>76</v>
      </c>
      <c r="L40" s="20">
        <f>B36</f>
        <v>500</v>
      </c>
      <c r="M40" t="s">
        <v>77</v>
      </c>
    </row>
    <row r="42" s="3" customFormat="1" ht="12.75">
      <c r="B42" s="3" t="s">
        <v>40</v>
      </c>
    </row>
    <row r="43" s="3" customFormat="1" ht="12.75">
      <c r="B43" s="3" t="s">
        <v>41</v>
      </c>
    </row>
    <row r="44" s="3" customFormat="1" ht="12.75">
      <c r="D44" s="5"/>
    </row>
    <row r="46" spans="1:3" ht="12.75">
      <c r="A46" s="23" t="s">
        <v>48</v>
      </c>
      <c r="C46" t="s">
        <v>80</v>
      </c>
    </row>
    <row r="48" ht="12.75">
      <c r="A48" t="s">
        <v>57</v>
      </c>
    </row>
    <row r="49" ht="12.75">
      <c r="A49" t="s">
        <v>58</v>
      </c>
    </row>
    <row r="50" ht="12.75">
      <c r="A50" t="s">
        <v>59</v>
      </c>
    </row>
    <row r="52" spans="3:4" ht="38.25">
      <c r="C52" s="13" t="s">
        <v>60</v>
      </c>
      <c r="D52" s="13" t="s">
        <v>61</v>
      </c>
    </row>
    <row r="53" spans="1:4" ht="12.75">
      <c r="A53" t="s">
        <v>52</v>
      </c>
      <c r="C53" s="15">
        <v>0.1</v>
      </c>
      <c r="D53" s="15">
        <v>0.16</v>
      </c>
    </row>
    <row r="54" spans="1:4" ht="12.75">
      <c r="A54" t="s">
        <v>55</v>
      </c>
      <c r="C54" s="15">
        <v>0.15</v>
      </c>
      <c r="D54" s="15">
        <v>0.2</v>
      </c>
    </row>
    <row r="55" spans="1:4" ht="12.75">
      <c r="A55" t="s">
        <v>56</v>
      </c>
      <c r="C55" s="15">
        <v>0.008</v>
      </c>
      <c r="D55" s="15">
        <v>0.25</v>
      </c>
    </row>
    <row r="56" spans="1:4" ht="12.75">
      <c r="A56" t="s">
        <v>81</v>
      </c>
      <c r="C56" s="15">
        <v>0.08</v>
      </c>
      <c r="D56" s="15">
        <v>0.12</v>
      </c>
    </row>
    <row r="58" spans="1:4" ht="12.75">
      <c r="A58" t="s">
        <v>62</v>
      </c>
      <c r="C58" s="16">
        <f>AVERAGE(C53:C56)</f>
        <v>0.0845</v>
      </c>
      <c r="D58" s="16">
        <f>AVERAGE(D53:D56)</f>
        <v>0.1825</v>
      </c>
    </row>
    <row r="59" ht="12.75">
      <c r="L59" s="3"/>
    </row>
    <row r="60" ht="12.75">
      <c r="G60" t="s">
        <v>71</v>
      </c>
    </row>
    <row r="61" spans="1:9" ht="12.75">
      <c r="A61" t="s">
        <v>63</v>
      </c>
      <c r="B61" s="10">
        <v>500</v>
      </c>
      <c r="C61" t="s">
        <v>5</v>
      </c>
      <c r="G61" t="s">
        <v>70</v>
      </c>
      <c r="H61" s="17">
        <v>0.5</v>
      </c>
      <c r="I61" t="s">
        <v>72</v>
      </c>
    </row>
    <row r="62" spans="7:9" ht="12.75">
      <c r="G62" t="s">
        <v>73</v>
      </c>
      <c r="H62" s="17">
        <v>0.32</v>
      </c>
      <c r="I62" t="s">
        <v>74</v>
      </c>
    </row>
    <row r="63" spans="1:5" ht="25.5">
      <c r="A63" t="s">
        <v>64</v>
      </c>
      <c r="B63" s="10">
        <v>0.08</v>
      </c>
      <c r="C63" s="14" t="s">
        <v>65</v>
      </c>
      <c r="D63" s="10">
        <v>0.18</v>
      </c>
      <c r="E63" s="14" t="s">
        <v>66</v>
      </c>
    </row>
    <row r="64" spans="7:9" ht="12.75">
      <c r="G64" t="s">
        <v>70</v>
      </c>
      <c r="H64" t="s">
        <v>73</v>
      </c>
      <c r="I64" t="s">
        <v>75</v>
      </c>
    </row>
    <row r="65" spans="1:12" ht="15.75">
      <c r="A65" t="s">
        <v>13</v>
      </c>
      <c r="B65" s="9">
        <f>B63*B61</f>
        <v>40</v>
      </c>
      <c r="C65" t="s">
        <v>67</v>
      </c>
      <c r="D65" s="9">
        <f>D63*B65</f>
        <v>7.199999999999999</v>
      </c>
      <c r="E65" t="s">
        <v>68</v>
      </c>
      <c r="G65" s="18">
        <f>B65*H61</f>
        <v>20</v>
      </c>
      <c r="H65" s="18">
        <f>D65*H62</f>
        <v>2.304</v>
      </c>
      <c r="I65" s="19">
        <f>G65+H65</f>
        <v>22.304</v>
      </c>
      <c r="J65" t="s">
        <v>76</v>
      </c>
      <c r="K65" s="20">
        <f>B61</f>
        <v>500</v>
      </c>
      <c r="L65" t="s">
        <v>77</v>
      </c>
    </row>
  </sheetData>
  <sheetProtection/>
  <printOptions/>
  <pageMargins left="0.75" right="0.75" top="1" bottom="1" header="0.5" footer="0.5"/>
  <pageSetup horizontalDpi="600" verticalDpi="6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2:L30"/>
  <sheetViews>
    <sheetView zoomScalePageLayoutView="0" workbookViewId="0" topLeftCell="A1">
      <selection activeCell="A12" sqref="A12:IV12"/>
    </sheetView>
  </sheetViews>
  <sheetFormatPr defaultColWidth="11.421875" defaultRowHeight="12.75"/>
  <cols>
    <col min="1" max="1" width="18.8515625" style="0" bestFit="1" customWidth="1"/>
    <col min="2" max="2" width="22.28125" style="0" customWidth="1"/>
  </cols>
  <sheetData>
    <row r="2" spans="1:2" ht="12.75">
      <c r="A2" t="s">
        <v>82</v>
      </c>
      <c r="B2" t="s">
        <v>103</v>
      </c>
    </row>
    <row r="3" spans="2:11" ht="12.75">
      <c r="B3" t="s">
        <v>52</v>
      </c>
      <c r="D3" t="s">
        <v>55</v>
      </c>
      <c r="F3" t="s">
        <v>56</v>
      </c>
      <c r="H3" t="s">
        <v>81</v>
      </c>
      <c r="K3" t="s">
        <v>62</v>
      </c>
    </row>
    <row r="4" spans="1:8" ht="12.75">
      <c r="A4" t="s">
        <v>53</v>
      </c>
      <c r="B4">
        <v>0.1</v>
      </c>
      <c r="D4">
        <v>0.15</v>
      </c>
      <c r="F4" s="12">
        <v>0.008</v>
      </c>
      <c r="H4">
        <v>0.08</v>
      </c>
    </row>
    <row r="5" spans="1:8" ht="12.75">
      <c r="A5" t="s">
        <v>54</v>
      </c>
      <c r="B5">
        <v>0.16</v>
      </c>
      <c r="D5">
        <v>0.2</v>
      </c>
      <c r="F5">
        <v>0.25</v>
      </c>
      <c r="H5">
        <v>0.12</v>
      </c>
    </row>
    <row r="7" spans="1:12" ht="12.75">
      <c r="A7" t="s">
        <v>49</v>
      </c>
      <c r="B7" t="s">
        <v>50</v>
      </c>
      <c r="C7" t="s">
        <v>51</v>
      </c>
      <c r="D7" t="s">
        <v>50</v>
      </c>
      <c r="E7" t="s">
        <v>51</v>
      </c>
      <c r="F7" t="s">
        <v>50</v>
      </c>
      <c r="G7" t="s">
        <v>51</v>
      </c>
      <c r="H7" t="s">
        <v>50</v>
      </c>
      <c r="I7" t="s">
        <v>51</v>
      </c>
      <c r="K7" t="s">
        <v>50</v>
      </c>
      <c r="L7" t="s">
        <v>51</v>
      </c>
    </row>
    <row r="8" spans="1:12" ht="12.75">
      <c r="A8" s="24">
        <v>1</v>
      </c>
      <c r="B8">
        <f>$A8*B$4</f>
        <v>0.1</v>
      </c>
      <c r="C8">
        <f>B8*B$5</f>
        <v>0.016</v>
      </c>
      <c r="D8">
        <f>$A8*D$4</f>
        <v>0.15</v>
      </c>
      <c r="E8">
        <f>D8*D$5</f>
        <v>0.03</v>
      </c>
      <c r="F8">
        <f>$A8*F$4</f>
        <v>0.008</v>
      </c>
      <c r="G8">
        <f aca="true" t="shared" si="0" ref="G8:G13">F8*F$5</f>
        <v>0.002</v>
      </c>
      <c r="H8">
        <f>$A8*H$4</f>
        <v>0.08</v>
      </c>
      <c r="I8">
        <f aca="true" t="shared" si="1" ref="I8:I13">H8*H$5</f>
        <v>0.0096</v>
      </c>
      <c r="K8">
        <f aca="true" t="shared" si="2" ref="K8:L13">AVERAGE(B8,D8,F8,H8)</f>
        <v>0.0845</v>
      </c>
      <c r="L8">
        <f t="shared" si="2"/>
        <v>0.0144</v>
      </c>
    </row>
    <row r="9" spans="1:12" ht="12.75">
      <c r="A9" s="24">
        <v>10</v>
      </c>
      <c r="B9">
        <f aca="true" t="shared" si="3" ref="B9:H13">$A9*B$4</f>
        <v>1</v>
      </c>
      <c r="C9">
        <f aca="true" t="shared" si="4" ref="C9:E13">B9*B$5</f>
        <v>0.16</v>
      </c>
      <c r="D9">
        <f t="shared" si="3"/>
        <v>1.5</v>
      </c>
      <c r="E9">
        <f t="shared" si="4"/>
        <v>0.30000000000000004</v>
      </c>
      <c r="F9">
        <f t="shared" si="3"/>
        <v>0.08</v>
      </c>
      <c r="G9">
        <f t="shared" si="0"/>
        <v>0.02</v>
      </c>
      <c r="H9">
        <f t="shared" si="3"/>
        <v>0.8</v>
      </c>
      <c r="I9">
        <f t="shared" si="1"/>
        <v>0.096</v>
      </c>
      <c r="K9">
        <f t="shared" si="2"/>
        <v>0.845</v>
      </c>
      <c r="L9">
        <f t="shared" si="2"/>
        <v>0.14400000000000002</v>
      </c>
    </row>
    <row r="10" spans="1:12" ht="12.75">
      <c r="A10" s="24">
        <v>50</v>
      </c>
      <c r="B10">
        <f t="shared" si="3"/>
        <v>5</v>
      </c>
      <c r="C10">
        <f t="shared" si="4"/>
        <v>0.8</v>
      </c>
      <c r="D10">
        <f t="shared" si="3"/>
        <v>7.5</v>
      </c>
      <c r="E10">
        <f t="shared" si="4"/>
        <v>1.5</v>
      </c>
      <c r="F10">
        <f t="shared" si="3"/>
        <v>0.4</v>
      </c>
      <c r="G10">
        <f t="shared" si="0"/>
        <v>0.1</v>
      </c>
      <c r="H10">
        <f t="shared" si="3"/>
        <v>4</v>
      </c>
      <c r="I10">
        <f t="shared" si="1"/>
        <v>0.48</v>
      </c>
      <c r="K10">
        <f t="shared" si="2"/>
        <v>4.225</v>
      </c>
      <c r="L10">
        <f t="shared" si="2"/>
        <v>0.72</v>
      </c>
    </row>
    <row r="11" spans="1:12" ht="12.75">
      <c r="A11" s="24">
        <v>100</v>
      </c>
      <c r="B11">
        <f t="shared" si="3"/>
        <v>10</v>
      </c>
      <c r="C11">
        <f t="shared" si="4"/>
        <v>1.6</v>
      </c>
      <c r="D11">
        <f t="shared" si="3"/>
        <v>15</v>
      </c>
      <c r="E11">
        <f t="shared" si="4"/>
        <v>3</v>
      </c>
      <c r="F11">
        <f t="shared" si="3"/>
        <v>0.8</v>
      </c>
      <c r="G11">
        <f t="shared" si="0"/>
        <v>0.2</v>
      </c>
      <c r="H11">
        <f t="shared" si="3"/>
        <v>8</v>
      </c>
      <c r="I11">
        <f t="shared" si="1"/>
        <v>0.96</v>
      </c>
      <c r="K11">
        <f t="shared" si="2"/>
        <v>8.45</v>
      </c>
      <c r="L11">
        <f t="shared" si="2"/>
        <v>1.44</v>
      </c>
    </row>
    <row r="12" spans="1:12" ht="12.75">
      <c r="A12" s="24">
        <v>500</v>
      </c>
      <c r="B12">
        <f t="shared" si="3"/>
        <v>50</v>
      </c>
      <c r="C12">
        <f t="shared" si="4"/>
        <v>8</v>
      </c>
      <c r="D12">
        <f t="shared" si="3"/>
        <v>75</v>
      </c>
      <c r="E12">
        <f t="shared" si="4"/>
        <v>15</v>
      </c>
      <c r="F12">
        <f t="shared" si="3"/>
        <v>4</v>
      </c>
      <c r="G12">
        <f t="shared" si="0"/>
        <v>1</v>
      </c>
      <c r="H12">
        <f t="shared" si="3"/>
        <v>40</v>
      </c>
      <c r="I12">
        <f t="shared" si="1"/>
        <v>4.8</v>
      </c>
      <c r="K12" s="24">
        <f t="shared" si="2"/>
        <v>42.25</v>
      </c>
      <c r="L12" s="24">
        <f t="shared" si="2"/>
        <v>7.2</v>
      </c>
    </row>
    <row r="13" spans="1:12" ht="12.75">
      <c r="A13" s="24">
        <v>1000</v>
      </c>
      <c r="B13">
        <f t="shared" si="3"/>
        <v>100</v>
      </c>
      <c r="C13">
        <f t="shared" si="4"/>
        <v>16</v>
      </c>
      <c r="D13">
        <f t="shared" si="3"/>
        <v>150</v>
      </c>
      <c r="E13">
        <f t="shared" si="4"/>
        <v>30</v>
      </c>
      <c r="F13">
        <f t="shared" si="3"/>
        <v>8</v>
      </c>
      <c r="G13">
        <f t="shared" si="0"/>
        <v>2</v>
      </c>
      <c r="H13">
        <f t="shared" si="3"/>
        <v>80</v>
      </c>
      <c r="I13">
        <f t="shared" si="1"/>
        <v>9.6</v>
      </c>
      <c r="K13">
        <f t="shared" si="2"/>
        <v>84.5</v>
      </c>
      <c r="L13">
        <f t="shared" si="2"/>
        <v>14.4</v>
      </c>
    </row>
    <row r="20" spans="1:6" ht="38.25">
      <c r="A20" t="s">
        <v>83</v>
      </c>
      <c r="B20" t="s">
        <v>90</v>
      </c>
      <c r="C20" s="13" t="s">
        <v>88</v>
      </c>
      <c r="D20" s="13" t="s">
        <v>96</v>
      </c>
      <c r="E20" s="13" t="s">
        <v>97</v>
      </c>
      <c r="F20" s="13" t="s">
        <v>93</v>
      </c>
    </row>
    <row r="21" spans="1:6" ht="12.75">
      <c r="A21" t="s">
        <v>84</v>
      </c>
      <c r="B21" t="s">
        <v>91</v>
      </c>
      <c r="C21" t="s">
        <v>94</v>
      </c>
      <c r="D21" t="s">
        <v>95</v>
      </c>
      <c r="E21" t="s">
        <v>98</v>
      </c>
      <c r="F21" s="25">
        <v>3300000000</v>
      </c>
    </row>
    <row r="22" spans="1:6" ht="12.75">
      <c r="A22" t="s">
        <v>85</v>
      </c>
      <c r="B22" t="s">
        <v>91</v>
      </c>
      <c r="C22" t="s">
        <v>87</v>
      </c>
      <c r="D22" t="s">
        <v>89</v>
      </c>
      <c r="E22" t="s">
        <v>89</v>
      </c>
      <c r="F22" s="25">
        <v>6000000000</v>
      </c>
    </row>
    <row r="23" spans="1:6" ht="12.75">
      <c r="A23" t="s">
        <v>86</v>
      </c>
      <c r="B23" t="s">
        <v>92</v>
      </c>
      <c r="F23" s="25">
        <v>20000000000</v>
      </c>
    </row>
    <row r="29" spans="1:4" ht="12.75">
      <c r="A29" t="s">
        <v>99</v>
      </c>
      <c r="B29" t="s">
        <v>100</v>
      </c>
      <c r="C29" t="s">
        <v>101</v>
      </c>
      <c r="D29" t="s">
        <v>102</v>
      </c>
    </row>
    <row r="30" spans="2:4" ht="12.75">
      <c r="B30">
        <v>7</v>
      </c>
      <c r="C30">
        <v>59.15</v>
      </c>
      <c r="D30">
        <v>4.7</v>
      </c>
    </row>
  </sheetData>
  <sheetProtection/>
  <printOptions/>
  <pageMargins left="0.75" right="0.75" top="1" bottom="1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0"/>
  <sheetViews>
    <sheetView zoomScale="125" zoomScaleNormal="125" zoomScalePageLayoutView="0" workbookViewId="0" topLeftCell="A1">
      <selection activeCell="I12" sqref="I12"/>
    </sheetView>
  </sheetViews>
  <sheetFormatPr defaultColWidth="8.8515625" defaultRowHeight="12.75"/>
  <cols>
    <col min="1" max="1" width="9.8515625" style="0" customWidth="1"/>
    <col min="2" max="6" width="8.8515625" style="0" customWidth="1"/>
    <col min="7" max="7" width="19.7109375" style="0" customWidth="1"/>
    <col min="8" max="10" width="8.8515625" style="0" customWidth="1"/>
    <col min="11" max="11" width="9.8515625" style="0" customWidth="1"/>
    <col min="12" max="12" width="9.421875" style="0" customWidth="1"/>
  </cols>
  <sheetData>
    <row r="1" spans="1:11" ht="18">
      <c r="A1" s="22" t="s">
        <v>0</v>
      </c>
      <c r="F1" s="1"/>
      <c r="G1" s="7" t="s">
        <v>32</v>
      </c>
      <c r="K1" s="11" t="s">
        <v>42</v>
      </c>
    </row>
    <row r="2" spans="1:14" ht="15.75">
      <c r="A2" s="6"/>
      <c r="F2" s="2"/>
      <c r="G2" s="8" t="s">
        <v>33</v>
      </c>
      <c r="M2" t="s">
        <v>46</v>
      </c>
      <c r="N2" t="s">
        <v>47</v>
      </c>
    </row>
    <row r="3" spans="1:14" ht="15.75">
      <c r="A3" s="6"/>
      <c r="F3" s="15"/>
      <c r="G3" s="8" t="s">
        <v>69</v>
      </c>
      <c r="K3" t="s">
        <v>43</v>
      </c>
      <c r="L3" t="s">
        <v>44</v>
      </c>
      <c r="M3" t="s">
        <v>45</v>
      </c>
      <c r="N3" t="s">
        <v>45</v>
      </c>
    </row>
    <row r="4" spans="11:14" ht="12.75">
      <c r="K4" s="15">
        <v>5</v>
      </c>
      <c r="L4" s="9">
        <f aca="true" t="shared" si="0" ref="L4:L9">9/5*K4+32</f>
        <v>41</v>
      </c>
      <c r="M4" s="15">
        <v>12.7</v>
      </c>
      <c r="N4" s="15">
        <v>12.3</v>
      </c>
    </row>
    <row r="5" spans="1:14" ht="15.75">
      <c r="A5" t="s">
        <v>146</v>
      </c>
      <c r="D5">
        <v>653</v>
      </c>
      <c r="E5" t="s">
        <v>22</v>
      </c>
      <c r="F5">
        <v>5.48</v>
      </c>
      <c r="G5" t="s">
        <v>23</v>
      </c>
      <c r="K5" s="15">
        <v>10</v>
      </c>
      <c r="L5" s="9">
        <f t="shared" si="0"/>
        <v>50</v>
      </c>
      <c r="M5" s="15">
        <v>11.3</v>
      </c>
      <c r="N5" s="15">
        <v>10.9</v>
      </c>
    </row>
    <row r="6" spans="1:14" ht="15.75">
      <c r="A6" t="s">
        <v>30</v>
      </c>
      <c r="D6">
        <v>678</v>
      </c>
      <c r="E6" t="s">
        <v>22</v>
      </c>
      <c r="F6">
        <v>5.67</v>
      </c>
      <c r="G6" t="s">
        <v>23</v>
      </c>
      <c r="K6" s="15">
        <v>15</v>
      </c>
      <c r="L6" s="9">
        <f t="shared" si="0"/>
        <v>59</v>
      </c>
      <c r="M6" s="15">
        <v>10.1</v>
      </c>
      <c r="N6" s="15">
        <v>9.7</v>
      </c>
    </row>
    <row r="7" spans="1:14" ht="15.75">
      <c r="A7" t="s">
        <v>29</v>
      </c>
      <c r="D7">
        <v>50</v>
      </c>
      <c r="E7" t="s">
        <v>22</v>
      </c>
      <c r="F7">
        <v>0.42</v>
      </c>
      <c r="G7" t="s">
        <v>23</v>
      </c>
      <c r="K7" s="15">
        <v>20</v>
      </c>
      <c r="L7" s="9">
        <f t="shared" si="0"/>
        <v>68</v>
      </c>
      <c r="M7" s="15">
        <v>9.1</v>
      </c>
      <c r="N7" s="15">
        <v>8.8</v>
      </c>
    </row>
    <row r="8" spans="1:14" ht="15.75">
      <c r="A8" s="6"/>
      <c r="F8" s="3"/>
      <c r="G8" s="8"/>
      <c r="K8" s="15">
        <v>25</v>
      </c>
      <c r="L8" s="9">
        <f t="shared" si="0"/>
        <v>77</v>
      </c>
      <c r="M8" s="15">
        <v>8.2</v>
      </c>
      <c r="N8" s="15">
        <v>8</v>
      </c>
    </row>
    <row r="9" spans="11:14" ht="12.75">
      <c r="K9" s="15">
        <v>30</v>
      </c>
      <c r="L9" s="9">
        <f t="shared" si="0"/>
        <v>86</v>
      </c>
      <c r="M9" s="15">
        <v>7.5</v>
      </c>
      <c r="N9" s="15">
        <v>7.3</v>
      </c>
    </row>
    <row r="10" spans="1:3" ht="12.75">
      <c r="A10" s="23" t="s">
        <v>1</v>
      </c>
      <c r="C10" t="s">
        <v>17</v>
      </c>
    </row>
    <row r="11" ht="15.75">
      <c r="A11" t="s">
        <v>150</v>
      </c>
    </row>
    <row r="12" ht="12.75">
      <c r="E12" t="s">
        <v>105</v>
      </c>
    </row>
    <row r="13" spans="1:8" ht="15.75">
      <c r="A13" t="s">
        <v>144</v>
      </c>
      <c r="B13">
        <v>190.107</v>
      </c>
      <c r="C13" t="s">
        <v>2</v>
      </c>
      <c r="F13" t="s">
        <v>106</v>
      </c>
      <c r="G13">
        <f>14+2+35.5</f>
        <v>51.5</v>
      </c>
      <c r="H13" t="s">
        <v>2</v>
      </c>
    </row>
    <row r="14" spans="1:8" ht="15.75">
      <c r="A14" t="s">
        <v>109</v>
      </c>
      <c r="B14">
        <v>32</v>
      </c>
      <c r="C14" t="s">
        <v>2</v>
      </c>
      <c r="F14" t="s">
        <v>107</v>
      </c>
      <c r="G14">
        <f>14+1+2*35.5</f>
        <v>86</v>
      </c>
      <c r="H14" t="s">
        <v>2</v>
      </c>
    </row>
    <row r="15" spans="1:8" ht="15.75">
      <c r="A15" t="s">
        <v>110</v>
      </c>
      <c r="B15">
        <v>96</v>
      </c>
      <c r="C15" t="s">
        <v>2</v>
      </c>
      <c r="F15" t="s">
        <v>108</v>
      </c>
      <c r="G15">
        <f>14+3*35.5</f>
        <v>120.5</v>
      </c>
      <c r="H15" t="s">
        <v>2</v>
      </c>
    </row>
    <row r="16" spans="1:8" ht="12.75">
      <c r="A16" t="s">
        <v>24</v>
      </c>
      <c r="B16">
        <v>55.847</v>
      </c>
      <c r="C16" t="s">
        <v>2</v>
      </c>
      <c r="F16" t="s">
        <v>114</v>
      </c>
      <c r="G16">
        <f>1+16+35.5</f>
        <v>52.5</v>
      </c>
      <c r="H16" t="s">
        <v>2</v>
      </c>
    </row>
    <row r="18" spans="1:11" ht="12.75">
      <c r="A18" t="s">
        <v>11</v>
      </c>
      <c r="B18" s="10">
        <f>'ox scavenge Main'!B11</f>
        <v>500</v>
      </c>
      <c r="C18" t="s">
        <v>5</v>
      </c>
      <c r="D18" s="9">
        <f>3.8*B18</f>
        <v>1900</v>
      </c>
      <c r="E18" t="s">
        <v>6</v>
      </c>
      <c r="F18" s="31">
        <f>'ox scavenge Main'!B13</f>
        <v>2</v>
      </c>
      <c r="G18" t="s">
        <v>115</v>
      </c>
      <c r="K18" s="26"/>
    </row>
    <row r="19" ht="12.75">
      <c r="K19" s="21"/>
    </row>
    <row r="20" spans="1:7" ht="12.75">
      <c r="A20" t="s">
        <v>12</v>
      </c>
      <c r="B20" s="2">
        <f>F18*D18</f>
        <v>3800</v>
      </c>
      <c r="C20" t="s">
        <v>116</v>
      </c>
      <c r="D20" s="2">
        <f>B20/1000</f>
        <v>3.8</v>
      </c>
      <c r="E20" t="s">
        <v>117</v>
      </c>
      <c r="F20" s="2">
        <f>D20/G16</f>
        <v>0.07238095238095238</v>
      </c>
      <c r="G20" t="s">
        <v>119</v>
      </c>
    </row>
    <row r="22" spans="1:12" ht="18">
      <c r="A22" t="s">
        <v>13</v>
      </c>
      <c r="B22" s="2">
        <f>F20</f>
        <v>0.07238095238095238</v>
      </c>
      <c r="C22" t="s">
        <v>7</v>
      </c>
      <c r="D22" s="2">
        <f>B22*B13</f>
        <v>13.760125714285714</v>
      </c>
      <c r="E22" t="s">
        <v>8</v>
      </c>
      <c r="F22" s="29">
        <f>2.2*D22/1000</f>
        <v>0.030272276571428572</v>
      </c>
      <c r="G22" s="6" t="s">
        <v>145</v>
      </c>
      <c r="I22" s="30">
        <f>B18</f>
        <v>500</v>
      </c>
      <c r="J22" s="27" t="s">
        <v>77</v>
      </c>
      <c r="L22" s="28"/>
    </row>
    <row r="24" spans="1:6" ht="12.75">
      <c r="A24" t="s">
        <v>14</v>
      </c>
      <c r="B24" s="2">
        <f>2*B22*B15</f>
        <v>13.897142857142857</v>
      </c>
      <c r="C24" t="s">
        <v>10</v>
      </c>
      <c r="D24" s="2">
        <f>B24*1000/D18</f>
        <v>7.314285714285714</v>
      </c>
      <c r="E24" t="s">
        <v>15</v>
      </c>
      <c r="F24" s="3" t="s">
        <v>18</v>
      </c>
    </row>
    <row r="26" spans="1:9" ht="12.75">
      <c r="A26" t="s">
        <v>19</v>
      </c>
      <c r="D26" s="4">
        <f>'ox scavenge Main'!B15</f>
        <v>1</v>
      </c>
      <c r="E26" t="s">
        <v>20</v>
      </c>
      <c r="H26" s="2">
        <f>B24*1000/(B18/D26)</f>
        <v>27.794285714285714</v>
      </c>
      <c r="I26" t="s">
        <v>34</v>
      </c>
    </row>
    <row r="28" ht="12.75">
      <c r="A28" t="s">
        <v>31</v>
      </c>
    </row>
    <row r="30" spans="1:11" ht="12.75">
      <c r="A30" t="s">
        <v>21</v>
      </c>
      <c r="K30" s="11"/>
    </row>
  </sheetData>
  <sheetProtection/>
  <printOptions/>
  <pageMargins left="0.75" right="0.75" top="1" bottom="1" header="0.5" footer="0.5"/>
  <pageSetup fitToHeight="1" fitToWidth="1" horizontalDpi="600" verticalDpi="600" orientation="landscape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0"/>
  <sheetViews>
    <sheetView zoomScale="125" zoomScaleNormal="125" zoomScalePageLayoutView="0" workbookViewId="0" topLeftCell="A1">
      <selection activeCell="D7" sqref="D7"/>
    </sheetView>
  </sheetViews>
  <sheetFormatPr defaultColWidth="8.8515625" defaultRowHeight="12.75"/>
  <cols>
    <col min="1" max="1" width="18.421875" style="0" customWidth="1"/>
    <col min="2" max="6" width="8.8515625" style="0" customWidth="1"/>
    <col min="7" max="7" width="18.421875" style="0" customWidth="1"/>
    <col min="8" max="10" width="8.8515625" style="0" customWidth="1"/>
    <col min="11" max="11" width="9.8515625" style="0" customWidth="1"/>
    <col min="12" max="12" width="9.421875" style="0" customWidth="1"/>
  </cols>
  <sheetData>
    <row r="1" spans="1:11" ht="18">
      <c r="A1" s="22" t="s">
        <v>0</v>
      </c>
      <c r="F1" s="1"/>
      <c r="G1" s="7" t="s">
        <v>32</v>
      </c>
      <c r="K1" s="11" t="s">
        <v>42</v>
      </c>
    </row>
    <row r="2" spans="1:14" ht="15.75">
      <c r="A2" s="6"/>
      <c r="F2" s="2"/>
      <c r="G2" s="8" t="s">
        <v>33</v>
      </c>
      <c r="M2" t="s">
        <v>46</v>
      </c>
      <c r="N2" t="s">
        <v>47</v>
      </c>
    </row>
    <row r="3" spans="1:14" ht="15.75">
      <c r="A3" s="6"/>
      <c r="F3" s="15"/>
      <c r="G3" s="8" t="s">
        <v>69</v>
      </c>
      <c r="K3" t="s">
        <v>43</v>
      </c>
      <c r="L3" t="s">
        <v>44</v>
      </c>
      <c r="M3" t="s">
        <v>45</v>
      </c>
      <c r="N3" t="s">
        <v>45</v>
      </c>
    </row>
    <row r="4" spans="11:14" ht="12.75">
      <c r="K4" s="15">
        <v>5</v>
      </c>
      <c r="L4" s="9">
        <f aca="true" t="shared" si="0" ref="L4:L9">9/5*K4+32</f>
        <v>41</v>
      </c>
      <c r="M4" s="15">
        <v>12.7</v>
      </c>
      <c r="N4" s="15">
        <v>12.3</v>
      </c>
    </row>
    <row r="5" spans="1:14" ht="15.75">
      <c r="A5" t="s">
        <v>146</v>
      </c>
      <c r="D5">
        <v>653</v>
      </c>
      <c r="E5" t="s">
        <v>22</v>
      </c>
      <c r="F5">
        <v>5.48</v>
      </c>
      <c r="G5" t="s">
        <v>23</v>
      </c>
      <c r="K5" s="15">
        <v>10</v>
      </c>
      <c r="L5" s="9">
        <f t="shared" si="0"/>
        <v>50</v>
      </c>
      <c r="M5" s="15">
        <v>11.3</v>
      </c>
      <c r="N5" s="15">
        <v>10.9</v>
      </c>
    </row>
    <row r="6" spans="1:14" ht="15.75">
      <c r="A6" t="s">
        <v>30</v>
      </c>
      <c r="D6">
        <v>678</v>
      </c>
      <c r="E6" t="s">
        <v>22</v>
      </c>
      <c r="F6">
        <v>5.67</v>
      </c>
      <c r="G6" t="s">
        <v>23</v>
      </c>
      <c r="K6" s="15">
        <v>15</v>
      </c>
      <c r="L6" s="9">
        <f t="shared" si="0"/>
        <v>59</v>
      </c>
      <c r="M6" s="15">
        <v>10.1</v>
      </c>
      <c r="N6" s="15">
        <v>9.7</v>
      </c>
    </row>
    <row r="7" spans="1:14" ht="15.75">
      <c r="A7" t="s">
        <v>29</v>
      </c>
      <c r="D7">
        <v>50</v>
      </c>
      <c r="E7" t="s">
        <v>22</v>
      </c>
      <c r="F7">
        <v>0.42</v>
      </c>
      <c r="G7" t="s">
        <v>23</v>
      </c>
      <c r="K7" s="15">
        <v>20</v>
      </c>
      <c r="L7" s="9">
        <f t="shared" si="0"/>
        <v>68</v>
      </c>
      <c r="M7" s="15">
        <v>9.1</v>
      </c>
      <c r="N7" s="15">
        <v>8.8</v>
      </c>
    </row>
    <row r="8" spans="1:14" ht="15.75">
      <c r="A8" s="6"/>
      <c r="F8" s="3"/>
      <c r="G8" s="8"/>
      <c r="K8" s="15">
        <v>25</v>
      </c>
      <c r="L8" s="9">
        <f t="shared" si="0"/>
        <v>77</v>
      </c>
      <c r="M8" s="15">
        <v>8.2</v>
      </c>
      <c r="N8" s="15">
        <v>8</v>
      </c>
    </row>
    <row r="9" spans="11:14" ht="12.75">
      <c r="K9" s="15">
        <v>30</v>
      </c>
      <c r="L9" s="9">
        <f t="shared" si="0"/>
        <v>86</v>
      </c>
      <c r="M9" s="15">
        <v>7.5</v>
      </c>
      <c r="N9" s="15">
        <v>7.3</v>
      </c>
    </row>
    <row r="10" spans="1:3" ht="12.75">
      <c r="A10" s="23" t="s">
        <v>142</v>
      </c>
      <c r="C10" t="s">
        <v>17</v>
      </c>
    </row>
    <row r="11" ht="15.75">
      <c r="A11" t="s">
        <v>149</v>
      </c>
    </row>
    <row r="12" ht="12.75">
      <c r="E12" t="s">
        <v>105</v>
      </c>
    </row>
    <row r="13" spans="1:8" ht="15.75">
      <c r="A13" t="s">
        <v>144</v>
      </c>
      <c r="B13">
        <v>190.107</v>
      </c>
      <c r="C13" t="s">
        <v>2</v>
      </c>
      <c r="E13" t="s">
        <v>120</v>
      </c>
      <c r="F13" t="s">
        <v>106</v>
      </c>
      <c r="G13">
        <f>14+2+35.5</f>
        <v>51.5</v>
      </c>
      <c r="H13" t="s">
        <v>2</v>
      </c>
    </row>
    <row r="14" spans="1:9" ht="15.75">
      <c r="A14" t="s">
        <v>109</v>
      </c>
      <c r="B14">
        <v>32</v>
      </c>
      <c r="C14" t="s">
        <v>2</v>
      </c>
      <c r="E14" t="s">
        <v>121</v>
      </c>
      <c r="F14" t="s">
        <v>107</v>
      </c>
      <c r="G14">
        <f>14+1+2*35.5</f>
        <v>86</v>
      </c>
      <c r="H14" t="s">
        <v>2</v>
      </c>
      <c r="I14" t="s">
        <v>123</v>
      </c>
    </row>
    <row r="15" spans="1:8" ht="15.75">
      <c r="A15" t="s">
        <v>110</v>
      </c>
      <c r="B15">
        <v>96</v>
      </c>
      <c r="C15" t="s">
        <v>2</v>
      </c>
      <c r="E15" t="s">
        <v>122</v>
      </c>
      <c r="F15" t="s">
        <v>108</v>
      </c>
      <c r="G15">
        <f>14+3*35.5</f>
        <v>120.5</v>
      </c>
      <c r="H15" t="s">
        <v>2</v>
      </c>
    </row>
    <row r="16" spans="1:8" ht="12.75">
      <c r="A16" t="s">
        <v>24</v>
      </c>
      <c r="B16">
        <v>55.847</v>
      </c>
      <c r="C16" t="s">
        <v>2</v>
      </c>
      <c r="F16" t="s">
        <v>114</v>
      </c>
      <c r="G16">
        <f>1+16+35.5</f>
        <v>52.5</v>
      </c>
      <c r="H16" t="s">
        <v>2</v>
      </c>
    </row>
    <row r="18" spans="1:11" ht="15.75">
      <c r="A18" t="s">
        <v>11</v>
      </c>
      <c r="B18" s="10">
        <f>'ox scavenge Main'!B11</f>
        <v>500</v>
      </c>
      <c r="C18" t="s">
        <v>5</v>
      </c>
      <c r="D18" s="9">
        <f>3.8*B18</f>
        <v>1900</v>
      </c>
      <c r="E18" t="s">
        <v>6</v>
      </c>
      <c r="F18" s="1">
        <f>'ox scavenge Main'!B14</f>
        <v>1</v>
      </c>
      <c r="G18" t="s">
        <v>111</v>
      </c>
      <c r="K18" s="26"/>
    </row>
    <row r="19" ht="12.75">
      <c r="K19" s="21"/>
    </row>
    <row r="20" spans="1:7" ht="15.75">
      <c r="A20" t="s">
        <v>12</v>
      </c>
      <c r="B20" s="2">
        <f>F18*D18</f>
        <v>1900</v>
      </c>
      <c r="C20" t="s">
        <v>112</v>
      </c>
      <c r="D20" s="2">
        <f>B20/1000</f>
        <v>1.9</v>
      </c>
      <c r="E20" t="s">
        <v>113</v>
      </c>
      <c r="F20" s="2">
        <f>D20/G13</f>
        <v>0.036893203883495145</v>
      </c>
      <c r="G20" t="s">
        <v>118</v>
      </c>
    </row>
    <row r="22" spans="1:12" ht="18">
      <c r="A22" t="s">
        <v>13</v>
      </c>
      <c r="B22" s="2">
        <f>F20/2</f>
        <v>0.018446601941747572</v>
      </c>
      <c r="C22" t="s">
        <v>7</v>
      </c>
      <c r="D22" s="2">
        <f>B22*B13</f>
        <v>3.5068281553398055</v>
      </c>
      <c r="E22" t="s">
        <v>8</v>
      </c>
      <c r="F22" s="29">
        <f>2.2*D22/1000</f>
        <v>0.007715021941747572</v>
      </c>
      <c r="G22" s="6" t="s">
        <v>145</v>
      </c>
      <c r="I22" s="30">
        <f>B18</f>
        <v>500</v>
      </c>
      <c r="J22" s="27" t="s">
        <v>77</v>
      </c>
      <c r="L22" s="28"/>
    </row>
    <row r="24" spans="1:6" ht="12.75">
      <c r="A24" t="s">
        <v>14</v>
      </c>
      <c r="B24" s="2">
        <f>2*B22*B15</f>
        <v>3.5417475728155337</v>
      </c>
      <c r="C24" t="s">
        <v>10</v>
      </c>
      <c r="D24" s="2">
        <f>B24*1000/D18</f>
        <v>1.8640776699029125</v>
      </c>
      <c r="E24" t="s">
        <v>15</v>
      </c>
      <c r="F24" s="3" t="s">
        <v>18</v>
      </c>
    </row>
    <row r="26" spans="1:9" ht="12.75">
      <c r="A26" t="s">
        <v>19</v>
      </c>
      <c r="D26" s="4">
        <f>'ox scavenge Main'!B15</f>
        <v>1</v>
      </c>
      <c r="E26" t="s">
        <v>20</v>
      </c>
      <c r="H26" s="2">
        <f>B24*1000/(B18/D26)</f>
        <v>7.083495145631067</v>
      </c>
      <c r="I26" t="s">
        <v>34</v>
      </c>
    </row>
    <row r="28" ht="12.75">
      <c r="A28" t="s">
        <v>31</v>
      </c>
    </row>
    <row r="30" spans="1:11" ht="12.75">
      <c r="A30" t="s">
        <v>21</v>
      </c>
      <c r="K30" s="11"/>
    </row>
  </sheetData>
  <sheetProtection/>
  <printOptions/>
  <pageMargins left="0.75" right="0.75" top="1" bottom="1" header="0.5" footer="0.5"/>
  <pageSetup fitToHeight="1" fitToWidth="1" horizontalDpi="600" verticalDpi="600" orientation="landscape" scale="8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0"/>
  <sheetViews>
    <sheetView zoomScale="125" zoomScaleNormal="125" zoomScalePageLayoutView="0" workbookViewId="0" topLeftCell="A1">
      <selection activeCell="D27" sqref="D27"/>
    </sheetView>
  </sheetViews>
  <sheetFormatPr defaultColWidth="8.8515625" defaultRowHeight="12.75"/>
  <cols>
    <col min="1" max="1" width="16.421875" style="0" customWidth="1"/>
    <col min="2" max="5" width="8.8515625" style="0" customWidth="1"/>
    <col min="6" max="6" width="9.140625" style="0" bestFit="1" customWidth="1"/>
    <col min="7" max="7" width="12.00390625" style="0" bestFit="1" customWidth="1"/>
    <col min="8" max="8" width="15.7109375" style="0" customWidth="1"/>
    <col min="9" max="10" width="8.8515625" style="0" customWidth="1"/>
    <col min="11" max="11" width="9.8515625" style="0" customWidth="1"/>
    <col min="12" max="12" width="9.421875" style="0" customWidth="1"/>
  </cols>
  <sheetData>
    <row r="1" spans="1:11" ht="18">
      <c r="A1" s="22" t="s">
        <v>0</v>
      </c>
      <c r="F1" s="1"/>
      <c r="G1" s="7" t="s">
        <v>32</v>
      </c>
      <c r="K1" s="11" t="s">
        <v>42</v>
      </c>
    </row>
    <row r="2" spans="1:14" ht="15.75">
      <c r="A2" s="6"/>
      <c r="F2" s="2"/>
      <c r="G2" s="8" t="s">
        <v>33</v>
      </c>
      <c r="M2" t="s">
        <v>46</v>
      </c>
      <c r="N2" t="s">
        <v>47</v>
      </c>
    </row>
    <row r="3" spans="1:14" ht="15.75">
      <c r="A3" s="6"/>
      <c r="F3" s="15"/>
      <c r="G3" s="8" t="s">
        <v>69</v>
      </c>
      <c r="K3" t="s">
        <v>43</v>
      </c>
      <c r="L3" t="s">
        <v>44</v>
      </c>
      <c r="M3" t="s">
        <v>45</v>
      </c>
      <c r="N3" t="s">
        <v>45</v>
      </c>
    </row>
    <row r="4" spans="11:14" ht="12.75">
      <c r="K4" s="15">
        <v>5</v>
      </c>
      <c r="L4" s="9">
        <f aca="true" t="shared" si="0" ref="L4:L9">9/5*K4+32</f>
        <v>41</v>
      </c>
      <c r="M4" s="15">
        <v>12.7</v>
      </c>
      <c r="N4" s="15">
        <v>12.3</v>
      </c>
    </row>
    <row r="5" spans="1:14" ht="15.75">
      <c r="A5" t="s">
        <v>146</v>
      </c>
      <c r="D5">
        <v>653</v>
      </c>
      <c r="E5" t="s">
        <v>22</v>
      </c>
      <c r="F5">
        <v>5.48</v>
      </c>
      <c r="G5" t="s">
        <v>23</v>
      </c>
      <c r="K5" s="15">
        <v>10</v>
      </c>
      <c r="L5" s="9">
        <f t="shared" si="0"/>
        <v>50</v>
      </c>
      <c r="M5" s="15">
        <v>11.3</v>
      </c>
      <c r="N5" s="15">
        <v>10.9</v>
      </c>
    </row>
    <row r="6" spans="1:14" ht="15.75">
      <c r="A6" t="s">
        <v>30</v>
      </c>
      <c r="D6">
        <v>678</v>
      </c>
      <c r="E6" t="s">
        <v>22</v>
      </c>
      <c r="F6">
        <v>5.67</v>
      </c>
      <c r="G6" t="s">
        <v>23</v>
      </c>
      <c r="K6" s="15">
        <v>15</v>
      </c>
      <c r="L6" s="9">
        <f t="shared" si="0"/>
        <v>59</v>
      </c>
      <c r="M6" s="15">
        <v>10.1</v>
      </c>
      <c r="N6" s="15">
        <v>9.7</v>
      </c>
    </row>
    <row r="7" spans="1:14" ht="15.75">
      <c r="A7" t="s">
        <v>29</v>
      </c>
      <c r="D7">
        <v>50</v>
      </c>
      <c r="E7" t="s">
        <v>22</v>
      </c>
      <c r="F7">
        <v>0.42</v>
      </c>
      <c r="G7" t="s">
        <v>23</v>
      </c>
      <c r="K7" s="15">
        <v>20</v>
      </c>
      <c r="L7" s="9">
        <f t="shared" si="0"/>
        <v>68</v>
      </c>
      <c r="M7" s="15">
        <v>9.1</v>
      </c>
      <c r="N7" s="15">
        <v>8.8</v>
      </c>
    </row>
    <row r="8" spans="1:14" ht="15.75">
      <c r="A8" s="6"/>
      <c r="F8" s="3"/>
      <c r="G8" s="8"/>
      <c r="K8" s="15">
        <v>25</v>
      </c>
      <c r="L8" s="9">
        <f t="shared" si="0"/>
        <v>77</v>
      </c>
      <c r="M8" s="15">
        <v>8.2</v>
      </c>
      <c r="N8" s="15">
        <v>8</v>
      </c>
    </row>
    <row r="9" spans="11:14" ht="12.75">
      <c r="K9" s="15">
        <v>30</v>
      </c>
      <c r="L9" s="9">
        <f t="shared" si="0"/>
        <v>86</v>
      </c>
      <c r="M9" s="15">
        <v>7.5</v>
      </c>
      <c r="N9" s="15">
        <v>7.3</v>
      </c>
    </row>
    <row r="10" spans="1:3" ht="12.75">
      <c r="A10" s="23" t="s">
        <v>142</v>
      </c>
      <c r="C10" t="s">
        <v>17</v>
      </c>
    </row>
    <row r="11" ht="15.75">
      <c r="A11" t="s">
        <v>143</v>
      </c>
    </row>
    <row r="12" ht="12.75">
      <c r="E12" t="s">
        <v>105</v>
      </c>
    </row>
    <row r="13" spans="1:8" ht="15.75">
      <c r="A13" t="s">
        <v>144</v>
      </c>
      <c r="B13">
        <v>190.107</v>
      </c>
      <c r="C13" t="s">
        <v>2</v>
      </c>
      <c r="F13" t="s">
        <v>106</v>
      </c>
      <c r="G13">
        <f>14+2+35.5</f>
        <v>51.5</v>
      </c>
      <c r="H13" t="s">
        <v>2</v>
      </c>
    </row>
    <row r="14" spans="1:8" ht="15.75">
      <c r="A14" t="s">
        <v>109</v>
      </c>
      <c r="B14">
        <v>32</v>
      </c>
      <c r="C14" t="s">
        <v>2</v>
      </c>
      <c r="F14" t="s">
        <v>107</v>
      </c>
      <c r="G14">
        <f>14+1+2*35.5</f>
        <v>86</v>
      </c>
      <c r="H14" t="s">
        <v>2</v>
      </c>
    </row>
    <row r="15" spans="1:8" ht="15.75">
      <c r="A15" t="s">
        <v>110</v>
      </c>
      <c r="B15">
        <v>96</v>
      </c>
      <c r="C15" t="s">
        <v>2</v>
      </c>
      <c r="F15" t="s">
        <v>108</v>
      </c>
      <c r="G15">
        <f>14+3*35.5</f>
        <v>120.5</v>
      </c>
      <c r="H15" t="s">
        <v>2</v>
      </c>
    </row>
    <row r="16" spans="1:3" ht="12.75">
      <c r="A16" t="s">
        <v>24</v>
      </c>
      <c r="B16">
        <v>55.847</v>
      </c>
      <c r="C16" t="s">
        <v>2</v>
      </c>
    </row>
    <row r="18" spans="1:11" ht="15.75">
      <c r="A18" t="s">
        <v>11</v>
      </c>
      <c r="B18" s="10">
        <f>'ox scavenge Main'!B11</f>
        <v>500</v>
      </c>
      <c r="C18" t="s">
        <v>5</v>
      </c>
      <c r="D18" s="9">
        <f>3.8*B18</f>
        <v>1900</v>
      </c>
      <c r="E18" t="s">
        <v>6</v>
      </c>
      <c r="F18" s="1">
        <f>'ox scavenge Main'!B12</f>
        <v>8</v>
      </c>
      <c r="G18" t="s">
        <v>37</v>
      </c>
      <c r="K18" s="26"/>
    </row>
    <row r="19" ht="12.75">
      <c r="K19" s="21"/>
    </row>
    <row r="20" spans="1:7" ht="15.75">
      <c r="A20" t="s">
        <v>12</v>
      </c>
      <c r="B20" s="2">
        <f>F18*D18</f>
        <v>15200</v>
      </c>
      <c r="C20" t="s">
        <v>35</v>
      </c>
      <c r="D20" s="2">
        <f>B20/1000</f>
        <v>15.2</v>
      </c>
      <c r="E20" t="s">
        <v>36</v>
      </c>
      <c r="F20" s="2">
        <f>D20/B14</f>
        <v>0.475</v>
      </c>
      <c r="G20" t="s">
        <v>38</v>
      </c>
    </row>
    <row r="22" spans="1:13" ht="18">
      <c r="A22" t="s">
        <v>13</v>
      </c>
      <c r="B22" s="2">
        <f>1*F20</f>
        <v>0.475</v>
      </c>
      <c r="C22" t="s">
        <v>7</v>
      </c>
      <c r="D22" s="2">
        <f>B22*B13</f>
        <v>90.30082499999999</v>
      </c>
      <c r="E22" t="s">
        <v>8</v>
      </c>
      <c r="F22" s="33">
        <f>2.2*D22/1000</f>
        <v>0.198661815</v>
      </c>
      <c r="G22" s="6" t="s">
        <v>145</v>
      </c>
      <c r="I22" s="30">
        <f>B18</f>
        <v>500</v>
      </c>
      <c r="J22" s="27" t="s">
        <v>77</v>
      </c>
      <c r="L22" s="28">
        <f>D22/D18*1000</f>
        <v>47.52674999999999</v>
      </c>
      <c r="M22" t="s">
        <v>138</v>
      </c>
    </row>
    <row r="23" spans="6:7" ht="12.75">
      <c r="F23" s="32">
        <f>F22*16</f>
        <v>3.17858904</v>
      </c>
      <c r="G23" t="s">
        <v>139</v>
      </c>
    </row>
    <row r="24" spans="1:6" ht="12.75">
      <c r="A24" t="s">
        <v>14</v>
      </c>
      <c r="B24" s="2">
        <f>2*B22*B15</f>
        <v>91.19999999999999</v>
      </c>
      <c r="C24" t="s">
        <v>10</v>
      </c>
      <c r="D24" s="2">
        <f>B24*1000/D18</f>
        <v>47.99999999999999</v>
      </c>
      <c r="E24" t="s">
        <v>15</v>
      </c>
      <c r="F24" s="3" t="s">
        <v>18</v>
      </c>
    </row>
    <row r="26" spans="1:9" ht="12.75">
      <c r="A26" t="s">
        <v>19</v>
      </c>
      <c r="D26" s="4">
        <f>'ox scavenge Main'!B15</f>
        <v>1</v>
      </c>
      <c r="E26" t="s">
        <v>20</v>
      </c>
      <c r="H26" s="2">
        <f>B24*1000/(B18/D26)</f>
        <v>182.39999999999998</v>
      </c>
      <c r="I26" t="s">
        <v>34</v>
      </c>
    </row>
    <row r="28" ht="12.75">
      <c r="A28" t="s">
        <v>148</v>
      </c>
    </row>
    <row r="30" spans="1:11" ht="12.75">
      <c r="A30" t="s">
        <v>147</v>
      </c>
      <c r="K30" s="11"/>
    </row>
  </sheetData>
  <sheetProtection/>
  <printOptions/>
  <pageMargins left="0.75" right="0.75" top="1" bottom="1" header="0.5" footer="0.5"/>
  <pageSetup fitToHeight="1" fitToWidth="1" horizontalDpi="600" verticalDpi="600" orientation="landscape" scale="8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7"/>
  <sheetViews>
    <sheetView zoomScale="150" zoomScaleNormal="150" zoomScalePageLayoutView="0" workbookViewId="0" topLeftCell="A6">
      <selection activeCell="M23" sqref="M23:M27"/>
    </sheetView>
  </sheetViews>
  <sheetFormatPr defaultColWidth="8.8515625" defaultRowHeight="12.75"/>
  <cols>
    <col min="1" max="1" width="9.8515625" style="0" customWidth="1"/>
    <col min="2" max="6" width="8.8515625" style="0" customWidth="1"/>
    <col min="7" max="7" width="12.00390625" style="0" bestFit="1" customWidth="1"/>
    <col min="8" max="10" width="8.8515625" style="0" customWidth="1"/>
    <col min="11" max="11" width="9.8515625" style="0" customWidth="1"/>
    <col min="12" max="12" width="9.421875" style="0" customWidth="1"/>
  </cols>
  <sheetData>
    <row r="1" spans="1:11" ht="18">
      <c r="A1" s="22" t="s">
        <v>0</v>
      </c>
      <c r="F1" s="1"/>
      <c r="G1" s="7" t="s">
        <v>32</v>
      </c>
      <c r="K1" s="11" t="s">
        <v>42</v>
      </c>
    </row>
    <row r="2" spans="1:14" ht="15.75">
      <c r="A2" s="6"/>
      <c r="F2" s="2"/>
      <c r="G2" s="8" t="s">
        <v>33</v>
      </c>
      <c r="M2" t="s">
        <v>46</v>
      </c>
      <c r="N2" t="s">
        <v>47</v>
      </c>
    </row>
    <row r="3" spans="1:14" ht="15.75">
      <c r="A3" s="6"/>
      <c r="F3" s="15"/>
      <c r="G3" s="8" t="s">
        <v>69</v>
      </c>
      <c r="K3" t="s">
        <v>43</v>
      </c>
      <c r="L3" t="s">
        <v>44</v>
      </c>
      <c r="M3" t="s">
        <v>45</v>
      </c>
      <c r="N3" t="s">
        <v>45</v>
      </c>
    </row>
    <row r="4" spans="11:14" ht="12.75">
      <c r="K4" s="15">
        <v>5</v>
      </c>
      <c r="L4" s="9">
        <f aca="true" t="shared" si="0" ref="L4:L9">9/5*K4+32</f>
        <v>41</v>
      </c>
      <c r="M4" s="15">
        <v>12.7</v>
      </c>
      <c r="N4" s="15">
        <v>12.3</v>
      </c>
    </row>
    <row r="5" spans="11:14" ht="12.75">
      <c r="K5" s="15">
        <v>10</v>
      </c>
      <c r="L5" s="9">
        <f t="shared" si="0"/>
        <v>50</v>
      </c>
      <c r="M5" s="15">
        <v>11.3</v>
      </c>
      <c r="N5" s="15">
        <v>10.9</v>
      </c>
    </row>
    <row r="6" spans="1:14" ht="15.75">
      <c r="A6" t="s">
        <v>30</v>
      </c>
      <c r="D6">
        <v>678</v>
      </c>
      <c r="E6" t="s">
        <v>22</v>
      </c>
      <c r="F6">
        <v>5.67</v>
      </c>
      <c r="G6" t="s">
        <v>23</v>
      </c>
      <c r="K6" s="15">
        <v>15</v>
      </c>
      <c r="L6" s="9">
        <f t="shared" si="0"/>
        <v>59</v>
      </c>
      <c r="M6" s="15">
        <v>10.1</v>
      </c>
      <c r="N6" s="15">
        <v>9.7</v>
      </c>
    </row>
    <row r="7" spans="1:14" ht="15.75">
      <c r="A7" t="s">
        <v>29</v>
      </c>
      <c r="D7">
        <v>50</v>
      </c>
      <c r="E7" t="s">
        <v>22</v>
      </c>
      <c r="F7">
        <v>0.42</v>
      </c>
      <c r="G7" t="s">
        <v>23</v>
      </c>
      <c r="K7" s="15">
        <v>20</v>
      </c>
      <c r="L7" s="9">
        <f t="shared" si="0"/>
        <v>68</v>
      </c>
      <c r="M7" s="15">
        <v>9.1</v>
      </c>
      <c r="N7" s="15">
        <v>8.8</v>
      </c>
    </row>
    <row r="8" spans="1:14" ht="15.75">
      <c r="A8" s="6"/>
      <c r="F8" s="3"/>
      <c r="G8" s="8"/>
      <c r="K8" s="15">
        <v>25</v>
      </c>
      <c r="L8" s="9">
        <f t="shared" si="0"/>
        <v>77</v>
      </c>
      <c r="M8" s="15">
        <v>8.2</v>
      </c>
      <c r="N8" s="15">
        <v>8</v>
      </c>
    </row>
    <row r="9" spans="11:14" ht="12.75">
      <c r="K9" s="15">
        <v>30</v>
      </c>
      <c r="L9" s="9">
        <f t="shared" si="0"/>
        <v>86</v>
      </c>
      <c r="M9" s="15">
        <v>7.5</v>
      </c>
      <c r="N9" s="15">
        <v>7.3</v>
      </c>
    </row>
    <row r="10" spans="1:3" ht="12.75">
      <c r="A10" s="23" t="s">
        <v>140</v>
      </c>
      <c r="C10" t="s">
        <v>17</v>
      </c>
    </row>
    <row r="11" ht="15.75">
      <c r="A11" t="s">
        <v>141</v>
      </c>
    </row>
    <row r="12" spans="5:12" ht="12.75">
      <c r="E12" t="s">
        <v>105</v>
      </c>
      <c r="K12" s="21">
        <v>1.8</v>
      </c>
      <c r="L12" t="s">
        <v>72</v>
      </c>
    </row>
    <row r="13" spans="1:8" ht="15.75">
      <c r="A13" t="s">
        <v>28</v>
      </c>
      <c r="B13">
        <v>126</v>
      </c>
      <c r="C13" t="s">
        <v>2</v>
      </c>
      <c r="E13" t="s">
        <v>120</v>
      </c>
      <c r="F13" t="s">
        <v>106</v>
      </c>
      <c r="G13">
        <f>14+2+35.5</f>
        <v>51.5</v>
      </c>
      <c r="H13" t="s">
        <v>2</v>
      </c>
    </row>
    <row r="14" spans="1:9" ht="15.75">
      <c r="A14" t="s">
        <v>109</v>
      </c>
      <c r="B14">
        <v>32</v>
      </c>
      <c r="C14" t="s">
        <v>2</v>
      </c>
      <c r="E14" t="s">
        <v>121</v>
      </c>
      <c r="F14" t="s">
        <v>107</v>
      </c>
      <c r="G14">
        <f>14+1+2*35.5</f>
        <v>86</v>
      </c>
      <c r="H14" t="s">
        <v>2</v>
      </c>
      <c r="I14" t="s">
        <v>123</v>
      </c>
    </row>
    <row r="15" spans="1:8" ht="15.75">
      <c r="A15" t="s">
        <v>110</v>
      </c>
      <c r="B15">
        <v>96</v>
      </c>
      <c r="C15" t="s">
        <v>2</v>
      </c>
      <c r="E15" t="s">
        <v>122</v>
      </c>
      <c r="F15" t="s">
        <v>108</v>
      </c>
      <c r="G15">
        <f>14+3*35.5</f>
        <v>120.5</v>
      </c>
      <c r="H15" t="s">
        <v>2</v>
      </c>
    </row>
    <row r="16" spans="1:8" ht="12.75">
      <c r="A16" t="s">
        <v>24</v>
      </c>
      <c r="B16">
        <v>55.847</v>
      </c>
      <c r="C16" t="s">
        <v>2</v>
      </c>
      <c r="F16" t="s">
        <v>114</v>
      </c>
      <c r="G16">
        <f>1+16+35.5</f>
        <v>52.5</v>
      </c>
      <c r="H16" t="s">
        <v>2</v>
      </c>
    </row>
    <row r="17" spans="1:3" ht="12.75">
      <c r="A17" t="s">
        <v>124</v>
      </c>
      <c r="B17">
        <v>176.12</v>
      </c>
      <c r="C17" t="s">
        <v>2</v>
      </c>
    </row>
    <row r="19" spans="1:11" ht="15.75">
      <c r="A19" t="s">
        <v>11</v>
      </c>
      <c r="B19" s="10">
        <f>'ox scavenge Main'!B11</f>
        <v>500</v>
      </c>
      <c r="C19" t="s">
        <v>5</v>
      </c>
      <c r="D19" s="9">
        <f>3.8*B19</f>
        <v>1900</v>
      </c>
      <c r="E19" t="s">
        <v>6</v>
      </c>
      <c r="F19" s="1">
        <f>'ox scavenge Main'!B12</f>
        <v>8</v>
      </c>
      <c r="G19" t="s">
        <v>37</v>
      </c>
      <c r="K19" s="26"/>
    </row>
    <row r="20" ht="12.75">
      <c r="K20" s="21"/>
    </row>
    <row r="21" spans="1:7" ht="15.75">
      <c r="A21" t="s">
        <v>12</v>
      </c>
      <c r="B21" s="2">
        <f>F19*D19</f>
        <v>15200</v>
      </c>
      <c r="C21" t="s">
        <v>35</v>
      </c>
      <c r="D21" s="2">
        <f>B21/1000</f>
        <v>15.2</v>
      </c>
      <c r="E21" t="s">
        <v>36</v>
      </c>
      <c r="F21" s="2">
        <f>D21/B14</f>
        <v>0.475</v>
      </c>
      <c r="G21" t="s">
        <v>38</v>
      </c>
    </row>
    <row r="23" spans="1:12" ht="18">
      <c r="A23" t="s">
        <v>13</v>
      </c>
      <c r="B23" s="2">
        <f>2*F21</f>
        <v>0.95</v>
      </c>
      <c r="C23" t="s">
        <v>7</v>
      </c>
      <c r="D23" s="2">
        <f>B23*B17</f>
        <v>167.314</v>
      </c>
      <c r="E23" t="s">
        <v>8</v>
      </c>
      <c r="F23" s="29">
        <f>2.2*D23/1000</f>
        <v>0.3680908</v>
      </c>
      <c r="G23" s="6" t="s">
        <v>126</v>
      </c>
      <c r="I23" s="30">
        <f>B19</f>
        <v>500</v>
      </c>
      <c r="J23" s="27" t="s">
        <v>127</v>
      </c>
      <c r="L23" s="28"/>
    </row>
    <row r="24" ht="12.75">
      <c r="L24" s="28"/>
    </row>
    <row r="25" ht="12.75">
      <c r="L25" s="28"/>
    </row>
    <row r="26" ht="12.75">
      <c r="L26" s="28"/>
    </row>
    <row r="27" ht="12.75">
      <c r="L27" s="28"/>
    </row>
  </sheetData>
  <sheetProtection/>
  <printOptions/>
  <pageMargins left="0.75" right="0.75" top="1" bottom="1" header="0.5" footer="0.5"/>
  <pageSetup fitToHeight="1" fitToWidth="1" horizontalDpi="600" verticalDpi="600" orientation="landscape" scale="8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7"/>
  <sheetViews>
    <sheetView zoomScale="150" zoomScaleNormal="150" zoomScalePageLayoutView="0" workbookViewId="0" topLeftCell="A1">
      <selection activeCell="F19" sqref="F19"/>
    </sheetView>
  </sheetViews>
  <sheetFormatPr defaultColWidth="8.8515625" defaultRowHeight="12.75"/>
  <cols>
    <col min="1" max="1" width="9.8515625" style="0" customWidth="1"/>
    <col min="2" max="6" width="8.8515625" style="0" customWidth="1"/>
    <col min="7" max="7" width="12.00390625" style="0" bestFit="1" customWidth="1"/>
    <col min="8" max="10" width="8.8515625" style="0" customWidth="1"/>
    <col min="11" max="11" width="9.8515625" style="0" customWidth="1"/>
    <col min="12" max="12" width="9.421875" style="0" customWidth="1"/>
  </cols>
  <sheetData>
    <row r="1" spans="1:11" ht="18">
      <c r="A1" s="22" t="s">
        <v>0</v>
      </c>
      <c r="F1" s="1"/>
      <c r="G1" s="7" t="s">
        <v>32</v>
      </c>
      <c r="K1" s="11" t="s">
        <v>42</v>
      </c>
    </row>
    <row r="2" spans="1:14" ht="15.75">
      <c r="A2" s="6"/>
      <c r="F2" s="2"/>
      <c r="G2" s="8" t="s">
        <v>33</v>
      </c>
      <c r="M2" t="s">
        <v>46</v>
      </c>
      <c r="N2" t="s">
        <v>47</v>
      </c>
    </row>
    <row r="3" spans="1:14" ht="15.75">
      <c r="A3" s="6"/>
      <c r="F3" s="15"/>
      <c r="G3" s="8" t="s">
        <v>69</v>
      </c>
      <c r="K3" t="s">
        <v>43</v>
      </c>
      <c r="L3" t="s">
        <v>44</v>
      </c>
      <c r="M3" t="s">
        <v>45</v>
      </c>
      <c r="N3" t="s">
        <v>45</v>
      </c>
    </row>
    <row r="4" spans="11:14" ht="12.75">
      <c r="K4" s="15">
        <v>5</v>
      </c>
      <c r="L4" s="9">
        <f aca="true" t="shared" si="0" ref="L4:L9">9/5*K4+32</f>
        <v>41</v>
      </c>
      <c r="M4" s="15">
        <v>12.7</v>
      </c>
      <c r="N4" s="15">
        <v>12.3</v>
      </c>
    </row>
    <row r="5" spans="11:14" ht="12.75">
      <c r="K5" s="15">
        <v>10</v>
      </c>
      <c r="L5" s="9">
        <f t="shared" si="0"/>
        <v>50</v>
      </c>
      <c r="M5" s="15">
        <v>11.3</v>
      </c>
      <c r="N5" s="15">
        <v>10.9</v>
      </c>
    </row>
    <row r="6" spans="1:14" ht="15.75">
      <c r="A6" t="s">
        <v>30</v>
      </c>
      <c r="D6">
        <v>678</v>
      </c>
      <c r="E6" t="s">
        <v>22</v>
      </c>
      <c r="F6">
        <v>5.67</v>
      </c>
      <c r="G6" t="s">
        <v>23</v>
      </c>
      <c r="K6" s="15">
        <v>15</v>
      </c>
      <c r="L6" s="9">
        <f t="shared" si="0"/>
        <v>59</v>
      </c>
      <c r="M6" s="15">
        <v>10.1</v>
      </c>
      <c r="N6" s="15">
        <v>9.7</v>
      </c>
    </row>
    <row r="7" spans="1:14" ht="15.75">
      <c r="A7" t="s">
        <v>29</v>
      </c>
      <c r="D7">
        <v>50</v>
      </c>
      <c r="E7" t="s">
        <v>22</v>
      </c>
      <c r="F7">
        <v>0.42</v>
      </c>
      <c r="G7" t="s">
        <v>23</v>
      </c>
      <c r="K7" s="15">
        <v>20</v>
      </c>
      <c r="L7" s="9">
        <f t="shared" si="0"/>
        <v>68</v>
      </c>
      <c r="M7" s="15">
        <v>9.1</v>
      </c>
      <c r="N7" s="15">
        <v>8.8</v>
      </c>
    </row>
    <row r="8" spans="1:14" ht="15.75">
      <c r="A8" s="6"/>
      <c r="F8" s="3"/>
      <c r="G8" s="8"/>
      <c r="K8" s="15">
        <v>25</v>
      </c>
      <c r="L8" s="9">
        <f t="shared" si="0"/>
        <v>77</v>
      </c>
      <c r="M8" s="15">
        <v>8.2</v>
      </c>
      <c r="N8" s="15">
        <v>8</v>
      </c>
    </row>
    <row r="9" spans="11:14" ht="12.75">
      <c r="K9" s="15">
        <v>30</v>
      </c>
      <c r="L9" s="9">
        <f t="shared" si="0"/>
        <v>86</v>
      </c>
      <c r="M9" s="15">
        <v>7.5</v>
      </c>
      <c r="N9" s="15">
        <v>7.3</v>
      </c>
    </row>
    <row r="10" spans="1:3" ht="12.75">
      <c r="A10" s="23" t="s">
        <v>140</v>
      </c>
      <c r="C10" t="s">
        <v>17</v>
      </c>
    </row>
    <row r="11" ht="15.75">
      <c r="A11" t="s">
        <v>157</v>
      </c>
    </row>
    <row r="12" spans="5:12" ht="12.75">
      <c r="E12" t="s">
        <v>105</v>
      </c>
      <c r="K12" s="21">
        <v>1.8</v>
      </c>
      <c r="L12" t="s">
        <v>72</v>
      </c>
    </row>
    <row r="13" spans="1:8" ht="15.75">
      <c r="A13" t="s">
        <v>28</v>
      </c>
      <c r="B13">
        <v>126</v>
      </c>
      <c r="C13" t="s">
        <v>2</v>
      </c>
      <c r="E13" t="s">
        <v>120</v>
      </c>
      <c r="F13" t="s">
        <v>106</v>
      </c>
      <c r="G13">
        <f>14+2+35.5</f>
        <v>51.5</v>
      </c>
      <c r="H13" t="s">
        <v>2</v>
      </c>
    </row>
    <row r="14" spans="1:9" ht="15.75">
      <c r="A14" t="s">
        <v>109</v>
      </c>
      <c r="B14">
        <v>32</v>
      </c>
      <c r="C14" t="s">
        <v>2</v>
      </c>
      <c r="E14" t="s">
        <v>121</v>
      </c>
      <c r="F14" t="s">
        <v>107</v>
      </c>
      <c r="G14">
        <f>14+1+2*35.5</f>
        <v>86</v>
      </c>
      <c r="H14" t="s">
        <v>2</v>
      </c>
      <c r="I14" t="s">
        <v>123</v>
      </c>
    </row>
    <row r="15" spans="1:8" ht="15.75">
      <c r="A15" t="s">
        <v>110</v>
      </c>
      <c r="B15">
        <v>96</v>
      </c>
      <c r="C15" t="s">
        <v>2</v>
      </c>
      <c r="E15" t="s">
        <v>122</v>
      </c>
      <c r="F15" t="s">
        <v>108</v>
      </c>
      <c r="G15">
        <f>14+3*35.5</f>
        <v>120.5</v>
      </c>
      <c r="H15" t="s">
        <v>2</v>
      </c>
    </row>
    <row r="16" spans="1:8" ht="12.75">
      <c r="A16" t="s">
        <v>24</v>
      </c>
      <c r="B16">
        <v>55.847</v>
      </c>
      <c r="C16" t="s">
        <v>2</v>
      </c>
      <c r="F16" t="s">
        <v>114</v>
      </c>
      <c r="G16">
        <f>1+16+35.5</f>
        <v>52.5</v>
      </c>
      <c r="H16" t="s">
        <v>2</v>
      </c>
    </row>
    <row r="17" spans="1:3" ht="12.75">
      <c r="A17" t="s">
        <v>124</v>
      </c>
      <c r="B17">
        <v>176.12</v>
      </c>
      <c r="C17" t="s">
        <v>2</v>
      </c>
    </row>
    <row r="18" spans="12:13" ht="12.75">
      <c r="L18">
        <v>1.38</v>
      </c>
      <c r="M18" t="s">
        <v>128</v>
      </c>
    </row>
    <row r="19" spans="1:13" ht="15.75">
      <c r="A19" t="s">
        <v>11</v>
      </c>
      <c r="B19" s="10">
        <f>'ox scavenge Main'!B11</f>
        <v>500</v>
      </c>
      <c r="C19" t="s">
        <v>5</v>
      </c>
      <c r="D19" s="9">
        <f>3.8*B19</f>
        <v>1900</v>
      </c>
      <c r="E19" t="s">
        <v>6</v>
      </c>
      <c r="F19" s="1">
        <f>'ox scavenge Main'!B14</f>
        <v>1</v>
      </c>
      <c r="G19" t="s">
        <v>111</v>
      </c>
      <c r="K19" s="26"/>
      <c r="L19">
        <v>1.37</v>
      </c>
      <c r="M19" t="s">
        <v>129</v>
      </c>
    </row>
    <row r="20" spans="11:13" ht="12.75">
      <c r="K20" s="21"/>
      <c r="L20">
        <v>1.28</v>
      </c>
      <c r="M20" t="s">
        <v>130</v>
      </c>
    </row>
    <row r="21" spans="1:13" ht="15.75">
      <c r="A21" t="s">
        <v>12</v>
      </c>
      <c r="B21" s="2">
        <f>F19*D19</f>
        <v>1900</v>
      </c>
      <c r="C21" t="s">
        <v>112</v>
      </c>
      <c r="D21" s="2">
        <f>B21/1000</f>
        <v>1.9</v>
      </c>
      <c r="E21" t="s">
        <v>113</v>
      </c>
      <c r="F21" s="2">
        <f>D21/G13</f>
        <v>0.036893203883495145</v>
      </c>
      <c r="G21" t="s">
        <v>118</v>
      </c>
      <c r="L21">
        <v>0.77</v>
      </c>
      <c r="M21" t="s">
        <v>131</v>
      </c>
    </row>
    <row r="22" spans="12:13" ht="12.75">
      <c r="L22">
        <v>0.71</v>
      </c>
      <c r="M22" t="s">
        <v>132</v>
      </c>
    </row>
    <row r="23" spans="1:13" ht="18">
      <c r="A23" t="s">
        <v>13</v>
      </c>
      <c r="B23" s="2">
        <f>F21</f>
        <v>0.036893203883495145</v>
      </c>
      <c r="C23" t="s">
        <v>7</v>
      </c>
      <c r="D23" s="2">
        <f>B23*B17</f>
        <v>6.497631067961165</v>
      </c>
      <c r="E23" t="s">
        <v>8</v>
      </c>
      <c r="F23" s="29">
        <f>2.2*D23/1000</f>
        <v>0.014294788349514564</v>
      </c>
      <c r="G23" s="6" t="s">
        <v>126</v>
      </c>
      <c r="I23" s="30">
        <f>B19</f>
        <v>500</v>
      </c>
      <c r="J23" s="27" t="s">
        <v>127</v>
      </c>
      <c r="L23" s="28">
        <f>F23*1000/L18</f>
        <v>10.35854228225693</v>
      </c>
      <c r="M23" t="s">
        <v>133</v>
      </c>
    </row>
    <row r="24" spans="12:13" ht="12.75">
      <c r="L24" s="28">
        <f>F$23*1000/L19</f>
        <v>10.434152079937636</v>
      </c>
      <c r="M24" t="s">
        <v>134</v>
      </c>
    </row>
    <row r="25" spans="12:13" ht="12.75">
      <c r="L25" s="28">
        <f>F$23*1000/L20</f>
        <v>11.167803398058252</v>
      </c>
      <c r="M25" t="s">
        <v>135</v>
      </c>
    </row>
    <row r="26" spans="12:13" ht="12.75">
      <c r="L26" s="28">
        <f>F$23*1000/L21</f>
        <v>18.564660194174756</v>
      </c>
      <c r="M26" t="s">
        <v>136</v>
      </c>
    </row>
    <row r="27" spans="12:13" ht="12.75">
      <c r="L27" s="28">
        <f>F$23*1000/L22</f>
        <v>20.133504717626145</v>
      </c>
      <c r="M27" t="s">
        <v>137</v>
      </c>
    </row>
  </sheetData>
  <sheetProtection/>
  <printOptions/>
  <pageMargins left="0.75" right="0.75" top="1" bottom="1" header="0.5" footer="0.5"/>
  <pageSetup fitToHeight="1" fitToWidth="1" horizontalDpi="600" verticalDpi="600" orientation="landscape" scale="8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7"/>
  <sheetViews>
    <sheetView zoomScale="150" zoomScaleNormal="150" zoomScalePageLayoutView="0" workbookViewId="0" topLeftCell="A11">
      <selection activeCell="B23" sqref="B23"/>
    </sheetView>
  </sheetViews>
  <sheetFormatPr defaultColWidth="8.8515625" defaultRowHeight="12.75"/>
  <cols>
    <col min="1" max="1" width="9.8515625" style="0" customWidth="1"/>
    <col min="2" max="6" width="8.8515625" style="0" customWidth="1"/>
    <col min="7" max="7" width="12.00390625" style="0" bestFit="1" customWidth="1"/>
    <col min="8" max="10" width="8.8515625" style="0" customWidth="1"/>
    <col min="11" max="11" width="9.8515625" style="0" customWidth="1"/>
    <col min="12" max="12" width="9.421875" style="0" customWidth="1"/>
  </cols>
  <sheetData>
    <row r="1" spans="1:11" ht="18">
      <c r="A1" s="22" t="s">
        <v>0</v>
      </c>
      <c r="F1" s="1"/>
      <c r="G1" s="7" t="s">
        <v>32</v>
      </c>
      <c r="K1" s="11" t="s">
        <v>42</v>
      </c>
    </row>
    <row r="2" spans="1:14" ht="15.75">
      <c r="A2" s="6"/>
      <c r="F2" s="2"/>
      <c r="G2" s="8" t="s">
        <v>33</v>
      </c>
      <c r="M2" t="s">
        <v>46</v>
      </c>
      <c r="N2" t="s">
        <v>47</v>
      </c>
    </row>
    <row r="3" spans="1:14" ht="15.75">
      <c r="A3" s="6"/>
      <c r="F3" s="15"/>
      <c r="G3" s="8" t="s">
        <v>69</v>
      </c>
      <c r="K3" t="s">
        <v>43</v>
      </c>
      <c r="L3" t="s">
        <v>44</v>
      </c>
      <c r="M3" t="s">
        <v>45</v>
      </c>
      <c r="N3" t="s">
        <v>45</v>
      </c>
    </row>
    <row r="4" spans="11:14" ht="12.75">
      <c r="K4" s="15">
        <v>5</v>
      </c>
      <c r="L4" s="9">
        <f aca="true" t="shared" si="0" ref="L4:L9">9/5*K4+32</f>
        <v>41</v>
      </c>
      <c r="M4" s="15">
        <v>12.7</v>
      </c>
      <c r="N4" s="15">
        <v>12.3</v>
      </c>
    </row>
    <row r="5" spans="11:14" ht="12.75">
      <c r="K5" s="15">
        <v>10</v>
      </c>
      <c r="L5" s="9">
        <f t="shared" si="0"/>
        <v>50</v>
      </c>
      <c r="M5" s="15">
        <v>11.3</v>
      </c>
      <c r="N5" s="15">
        <v>10.9</v>
      </c>
    </row>
    <row r="6" spans="1:14" ht="15.75">
      <c r="A6" t="s">
        <v>30</v>
      </c>
      <c r="D6">
        <v>678</v>
      </c>
      <c r="E6" t="s">
        <v>22</v>
      </c>
      <c r="F6">
        <v>5.67</v>
      </c>
      <c r="G6" t="s">
        <v>23</v>
      </c>
      <c r="K6" s="15">
        <v>15</v>
      </c>
      <c r="L6" s="9">
        <f t="shared" si="0"/>
        <v>59</v>
      </c>
      <c r="M6" s="15">
        <v>10.1</v>
      </c>
      <c r="N6" s="15">
        <v>9.7</v>
      </c>
    </row>
    <row r="7" spans="1:14" ht="15.75">
      <c r="A7" t="s">
        <v>29</v>
      </c>
      <c r="D7">
        <v>50</v>
      </c>
      <c r="E7" t="s">
        <v>22</v>
      </c>
      <c r="F7">
        <v>0.42</v>
      </c>
      <c r="G7" t="s">
        <v>23</v>
      </c>
      <c r="K7" s="15">
        <v>20</v>
      </c>
      <c r="L7" s="9">
        <f t="shared" si="0"/>
        <v>68</v>
      </c>
      <c r="M7" s="15">
        <v>9.1</v>
      </c>
      <c r="N7" s="15">
        <v>8.8</v>
      </c>
    </row>
    <row r="8" spans="1:14" ht="15.75">
      <c r="A8" s="6"/>
      <c r="F8" s="3"/>
      <c r="G8" s="8"/>
      <c r="K8" s="15">
        <v>25</v>
      </c>
      <c r="L8" s="9">
        <f t="shared" si="0"/>
        <v>77</v>
      </c>
      <c r="M8" s="15">
        <v>8.2</v>
      </c>
      <c r="N8" s="15">
        <v>8</v>
      </c>
    </row>
    <row r="9" spans="11:14" ht="12.75">
      <c r="K9" s="15">
        <v>30</v>
      </c>
      <c r="L9" s="9">
        <f t="shared" si="0"/>
        <v>86</v>
      </c>
      <c r="M9" s="15">
        <v>7.5</v>
      </c>
      <c r="N9" s="15">
        <v>7.3</v>
      </c>
    </row>
    <row r="10" spans="1:3" ht="12.75">
      <c r="A10" s="23" t="s">
        <v>140</v>
      </c>
      <c r="C10" t="s">
        <v>17</v>
      </c>
    </row>
    <row r="11" ht="15.75">
      <c r="A11" t="s">
        <v>125</v>
      </c>
    </row>
    <row r="12" spans="5:12" ht="12.75">
      <c r="E12" t="s">
        <v>105</v>
      </c>
      <c r="K12" s="21">
        <v>1.8</v>
      </c>
      <c r="L12" t="s">
        <v>72</v>
      </c>
    </row>
    <row r="13" spans="1:8" ht="15.75">
      <c r="A13" t="s">
        <v>28</v>
      </c>
      <c r="B13">
        <v>126</v>
      </c>
      <c r="C13" t="s">
        <v>2</v>
      </c>
      <c r="E13" t="s">
        <v>120</v>
      </c>
      <c r="F13" t="s">
        <v>106</v>
      </c>
      <c r="G13">
        <f>14+2+35.5</f>
        <v>51.5</v>
      </c>
      <c r="H13" t="s">
        <v>2</v>
      </c>
    </row>
    <row r="14" spans="1:9" ht="15.75">
      <c r="A14" t="s">
        <v>109</v>
      </c>
      <c r="B14">
        <v>32</v>
      </c>
      <c r="C14" t="s">
        <v>2</v>
      </c>
      <c r="E14" t="s">
        <v>121</v>
      </c>
      <c r="F14" t="s">
        <v>107</v>
      </c>
      <c r="G14">
        <f>14+1+2*35.5</f>
        <v>86</v>
      </c>
      <c r="H14" t="s">
        <v>2</v>
      </c>
      <c r="I14" t="s">
        <v>123</v>
      </c>
    </row>
    <row r="15" spans="1:8" ht="15.75">
      <c r="A15" t="s">
        <v>110</v>
      </c>
      <c r="B15">
        <v>96</v>
      </c>
      <c r="C15" t="s">
        <v>2</v>
      </c>
      <c r="E15" t="s">
        <v>122</v>
      </c>
      <c r="F15" t="s">
        <v>108</v>
      </c>
      <c r="G15">
        <f>14+3*35.5</f>
        <v>120.5</v>
      </c>
      <c r="H15" t="s">
        <v>2</v>
      </c>
    </row>
    <row r="16" spans="1:8" ht="12.75">
      <c r="A16" t="s">
        <v>24</v>
      </c>
      <c r="B16">
        <v>55.847</v>
      </c>
      <c r="C16" t="s">
        <v>2</v>
      </c>
      <c r="F16" t="s">
        <v>114</v>
      </c>
      <c r="G16">
        <f>1+16+35.5</f>
        <v>52.5</v>
      </c>
      <c r="H16" t="s">
        <v>2</v>
      </c>
    </row>
    <row r="17" spans="1:3" ht="12.75">
      <c r="A17" t="s">
        <v>124</v>
      </c>
      <c r="B17">
        <v>176.12</v>
      </c>
      <c r="C17" t="s">
        <v>2</v>
      </c>
    </row>
    <row r="18" spans="12:13" ht="12.75">
      <c r="L18">
        <v>1.38</v>
      </c>
      <c r="M18" t="s">
        <v>128</v>
      </c>
    </row>
    <row r="19" spans="1:13" ht="15.75">
      <c r="A19" t="s">
        <v>11</v>
      </c>
      <c r="B19" s="10">
        <f>'ox scavenge Main'!B11</f>
        <v>500</v>
      </c>
      <c r="C19" t="s">
        <v>5</v>
      </c>
      <c r="D19" s="9">
        <f>3.8*B19</f>
        <v>1900</v>
      </c>
      <c r="E19" t="s">
        <v>6</v>
      </c>
      <c r="F19" s="1">
        <f>'ox scavenge Main'!B14</f>
        <v>1</v>
      </c>
      <c r="G19" t="s">
        <v>111</v>
      </c>
      <c r="K19" s="26"/>
      <c r="L19">
        <v>1.37</v>
      </c>
      <c r="M19" t="s">
        <v>129</v>
      </c>
    </row>
    <row r="20" spans="11:13" ht="12.75">
      <c r="K20" s="21"/>
      <c r="L20">
        <v>1.28</v>
      </c>
      <c r="M20" t="s">
        <v>130</v>
      </c>
    </row>
    <row r="21" spans="1:13" ht="15.75">
      <c r="A21" t="s">
        <v>12</v>
      </c>
      <c r="B21" s="2">
        <f>F19*D19</f>
        <v>1900</v>
      </c>
      <c r="C21" t="s">
        <v>112</v>
      </c>
      <c r="D21" s="2">
        <f>B21/1000</f>
        <v>1.9</v>
      </c>
      <c r="E21" t="s">
        <v>113</v>
      </c>
      <c r="F21" s="2">
        <f>D21/G13</f>
        <v>0.036893203883495145</v>
      </c>
      <c r="G21" t="s">
        <v>118</v>
      </c>
      <c r="L21">
        <v>0.77</v>
      </c>
      <c r="M21" t="s">
        <v>131</v>
      </c>
    </row>
    <row r="22" spans="12:13" ht="12.75">
      <c r="L22">
        <v>0.71</v>
      </c>
      <c r="M22" t="s">
        <v>132</v>
      </c>
    </row>
    <row r="23" spans="1:13" ht="18">
      <c r="A23" t="s">
        <v>13</v>
      </c>
      <c r="B23" s="2">
        <f>F21</f>
        <v>0.036893203883495145</v>
      </c>
      <c r="C23" t="s">
        <v>7</v>
      </c>
      <c r="D23" s="2">
        <f>B23*B17</f>
        <v>6.497631067961165</v>
      </c>
      <c r="E23" t="s">
        <v>8</v>
      </c>
      <c r="F23" s="29">
        <f>2.2*D23/1000</f>
        <v>0.014294788349514564</v>
      </c>
      <c r="G23" s="6" t="s">
        <v>126</v>
      </c>
      <c r="I23" s="30">
        <f>B19</f>
        <v>500</v>
      </c>
      <c r="J23" s="27" t="s">
        <v>127</v>
      </c>
      <c r="L23" s="28">
        <f>F23*1000/L18</f>
        <v>10.35854228225693</v>
      </c>
      <c r="M23" t="s">
        <v>133</v>
      </c>
    </row>
    <row r="24" spans="12:13" ht="12.75">
      <c r="L24" s="28">
        <f>F$23*1000/L19</f>
        <v>10.434152079937636</v>
      </c>
      <c r="M24" t="s">
        <v>134</v>
      </c>
    </row>
    <row r="25" spans="12:13" ht="12.75">
      <c r="L25" s="28">
        <f>F$23*1000/L20</f>
        <v>11.167803398058252</v>
      </c>
      <c r="M25" t="s">
        <v>135</v>
      </c>
    </row>
    <row r="26" spans="12:13" ht="12.75">
      <c r="L26" s="28">
        <f>F$23*1000/L21</f>
        <v>18.564660194174756</v>
      </c>
      <c r="M26" t="s">
        <v>136</v>
      </c>
    </row>
    <row r="27" spans="12:13" ht="12.75">
      <c r="L27" s="28">
        <f>F$23*1000/L22</f>
        <v>20.133504717626145</v>
      </c>
      <c r="M27" t="s">
        <v>137</v>
      </c>
    </row>
  </sheetData>
  <sheetProtection/>
  <printOptions/>
  <pageMargins left="0.75" right="0.75" top="1" bottom="1" header="0.5" footer="0.5"/>
  <pageSetup fitToHeight="1" fitToWidth="1" horizontalDpi="600" verticalDpi="600" orientation="landscape" scale="8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0"/>
  <sheetViews>
    <sheetView zoomScale="125" zoomScaleNormal="125" zoomScalePageLayoutView="0" workbookViewId="0" topLeftCell="A1">
      <selection activeCell="D27" sqref="D27"/>
    </sheetView>
  </sheetViews>
  <sheetFormatPr defaultColWidth="8.8515625" defaultRowHeight="12.75"/>
  <cols>
    <col min="1" max="1" width="9.8515625" style="0" customWidth="1"/>
    <col min="2" max="6" width="8.8515625" style="0" customWidth="1"/>
    <col min="7" max="7" width="12.00390625" style="0" bestFit="1" customWidth="1"/>
    <col min="8" max="10" width="8.8515625" style="0" customWidth="1"/>
    <col min="11" max="11" width="9.8515625" style="0" customWidth="1"/>
    <col min="12" max="12" width="9.421875" style="0" customWidth="1"/>
  </cols>
  <sheetData>
    <row r="1" spans="1:11" ht="18">
      <c r="A1" s="22" t="s">
        <v>0</v>
      </c>
      <c r="F1" s="1"/>
      <c r="G1" s="7" t="s">
        <v>32</v>
      </c>
      <c r="K1" s="11" t="s">
        <v>42</v>
      </c>
    </row>
    <row r="2" spans="1:14" ht="15.75">
      <c r="A2" s="6"/>
      <c r="F2" s="2"/>
      <c r="G2" s="8" t="s">
        <v>33</v>
      </c>
      <c r="M2" t="s">
        <v>46</v>
      </c>
      <c r="N2" t="s">
        <v>47</v>
      </c>
    </row>
    <row r="3" spans="1:14" ht="15.75">
      <c r="A3" s="6"/>
      <c r="F3" s="15"/>
      <c r="G3" s="8" t="s">
        <v>69</v>
      </c>
      <c r="K3" t="s">
        <v>43</v>
      </c>
      <c r="L3" t="s">
        <v>44</v>
      </c>
      <c r="M3" t="s">
        <v>45</v>
      </c>
      <c r="N3" t="s">
        <v>45</v>
      </c>
    </row>
    <row r="4" spans="11:14" ht="12.75">
      <c r="K4" s="15">
        <v>5</v>
      </c>
      <c r="L4" s="9">
        <f aca="true" t="shared" si="0" ref="L4:L9">9/5*K4+32</f>
        <v>41</v>
      </c>
      <c r="M4" s="15">
        <v>12.7</v>
      </c>
      <c r="N4" s="15">
        <v>12.3</v>
      </c>
    </row>
    <row r="5" spans="11:14" ht="12.75">
      <c r="K5" s="15">
        <v>10</v>
      </c>
      <c r="L5" s="9">
        <f t="shared" si="0"/>
        <v>50</v>
      </c>
      <c r="M5" s="15">
        <v>11.3</v>
      </c>
      <c r="N5" s="15">
        <v>10.9</v>
      </c>
    </row>
    <row r="6" spans="1:14" ht="15.75">
      <c r="A6" t="s">
        <v>30</v>
      </c>
      <c r="D6">
        <v>678</v>
      </c>
      <c r="E6" t="s">
        <v>22</v>
      </c>
      <c r="F6">
        <v>5.67</v>
      </c>
      <c r="G6" t="s">
        <v>23</v>
      </c>
      <c r="K6" s="15">
        <v>15</v>
      </c>
      <c r="L6" s="9">
        <f t="shared" si="0"/>
        <v>59</v>
      </c>
      <c r="M6" s="15">
        <v>10.1</v>
      </c>
      <c r="N6" s="15">
        <v>9.7</v>
      </c>
    </row>
    <row r="7" spans="1:14" ht="15.75">
      <c r="A7" t="s">
        <v>29</v>
      </c>
      <c r="D7">
        <v>50</v>
      </c>
      <c r="E7" t="s">
        <v>22</v>
      </c>
      <c r="F7">
        <v>0.42</v>
      </c>
      <c r="G7" t="s">
        <v>23</v>
      </c>
      <c r="K7" s="15">
        <v>20</v>
      </c>
      <c r="L7" s="9">
        <f t="shared" si="0"/>
        <v>68</v>
      </c>
      <c r="M7" s="15">
        <v>9.1</v>
      </c>
      <c r="N7" s="15">
        <v>8.8</v>
      </c>
    </row>
    <row r="8" spans="1:14" ht="15.75">
      <c r="A8" s="6"/>
      <c r="F8" s="3"/>
      <c r="G8" s="8"/>
      <c r="K8" s="15">
        <v>25</v>
      </c>
      <c r="L8" s="9">
        <f t="shared" si="0"/>
        <v>77</v>
      </c>
      <c r="M8" s="15">
        <v>8.2</v>
      </c>
      <c r="N8" s="15">
        <v>8</v>
      </c>
    </row>
    <row r="9" spans="11:14" ht="12.75">
      <c r="K9" s="15">
        <v>30</v>
      </c>
      <c r="L9" s="9">
        <f t="shared" si="0"/>
        <v>86</v>
      </c>
      <c r="M9" s="15">
        <v>7.5</v>
      </c>
      <c r="N9" s="15">
        <v>7.3</v>
      </c>
    </row>
    <row r="10" spans="1:3" ht="12.75">
      <c r="A10" s="23" t="s">
        <v>1</v>
      </c>
      <c r="C10" t="s">
        <v>17</v>
      </c>
    </row>
    <row r="11" ht="15.75">
      <c r="A11" t="s">
        <v>151</v>
      </c>
    </row>
    <row r="12" ht="12.75">
      <c r="E12" t="s">
        <v>105</v>
      </c>
    </row>
    <row r="13" spans="1:8" ht="15.75">
      <c r="A13" t="s">
        <v>28</v>
      </c>
      <c r="B13">
        <v>126</v>
      </c>
      <c r="C13" t="s">
        <v>2</v>
      </c>
      <c r="F13" t="s">
        <v>106</v>
      </c>
      <c r="G13">
        <f>14+2+35.5</f>
        <v>51.5</v>
      </c>
      <c r="H13" t="s">
        <v>2</v>
      </c>
    </row>
    <row r="14" spans="1:8" ht="15.75">
      <c r="A14" t="s">
        <v>109</v>
      </c>
      <c r="B14">
        <v>32</v>
      </c>
      <c r="C14" t="s">
        <v>2</v>
      </c>
      <c r="F14" t="s">
        <v>107</v>
      </c>
      <c r="G14">
        <f>14+1+2*35.5</f>
        <v>86</v>
      </c>
      <c r="H14" t="s">
        <v>2</v>
      </c>
    </row>
    <row r="15" spans="1:8" ht="15.75">
      <c r="A15" t="s">
        <v>110</v>
      </c>
      <c r="B15">
        <v>96</v>
      </c>
      <c r="C15" t="s">
        <v>2</v>
      </c>
      <c r="F15" t="s">
        <v>108</v>
      </c>
      <c r="G15">
        <f>14+3*35.5</f>
        <v>120.5</v>
      </c>
      <c r="H15" t="s">
        <v>2</v>
      </c>
    </row>
    <row r="16" spans="1:8" ht="12.75">
      <c r="A16" t="s">
        <v>24</v>
      </c>
      <c r="B16">
        <v>55.847</v>
      </c>
      <c r="C16" t="s">
        <v>2</v>
      </c>
      <c r="F16" t="s">
        <v>114</v>
      </c>
      <c r="G16">
        <f>1+16+35.5</f>
        <v>52.5</v>
      </c>
      <c r="H16" t="s">
        <v>2</v>
      </c>
    </row>
    <row r="18" spans="1:11" ht="12.75">
      <c r="A18" t="s">
        <v>11</v>
      </c>
      <c r="B18" s="10">
        <f>'ox scavenge Main'!B11</f>
        <v>500</v>
      </c>
      <c r="C18" t="s">
        <v>5</v>
      </c>
      <c r="D18" s="9">
        <f>3.8*B18</f>
        <v>1900</v>
      </c>
      <c r="E18" t="s">
        <v>6</v>
      </c>
      <c r="F18" s="31">
        <f>'ox scavenge Main'!B13</f>
        <v>2</v>
      </c>
      <c r="G18" t="s">
        <v>115</v>
      </c>
      <c r="K18" s="26"/>
    </row>
    <row r="19" ht="12.75">
      <c r="K19" s="21"/>
    </row>
    <row r="20" spans="1:7" ht="12.75">
      <c r="A20" t="s">
        <v>12</v>
      </c>
      <c r="B20" s="2">
        <f>F18*D18</f>
        <v>3800</v>
      </c>
      <c r="C20" t="s">
        <v>116</v>
      </c>
      <c r="D20" s="2">
        <f>B20/1000</f>
        <v>3.8</v>
      </c>
      <c r="E20" t="s">
        <v>117</v>
      </c>
      <c r="F20" s="2">
        <f>D20/G16</f>
        <v>0.07238095238095238</v>
      </c>
      <c r="G20" t="s">
        <v>119</v>
      </c>
    </row>
    <row r="22" spans="1:12" ht="18">
      <c r="A22" t="s">
        <v>13</v>
      </c>
      <c r="B22" s="2">
        <f>F20</f>
        <v>0.07238095238095238</v>
      </c>
      <c r="C22" t="s">
        <v>7</v>
      </c>
      <c r="D22" s="2">
        <f>B22*B13</f>
        <v>9.12</v>
      </c>
      <c r="E22" t="s">
        <v>8</v>
      </c>
      <c r="F22" s="29">
        <f>2.2*D22/1000</f>
        <v>0.020064</v>
      </c>
      <c r="G22" s="6" t="s">
        <v>104</v>
      </c>
      <c r="I22" s="30">
        <f>B18</f>
        <v>500</v>
      </c>
      <c r="J22" s="27" t="s">
        <v>77</v>
      </c>
      <c r="L22" s="28"/>
    </row>
    <row r="24" spans="1:6" ht="12.75">
      <c r="A24" t="s">
        <v>14</v>
      </c>
      <c r="B24" s="2">
        <f>B22*B15</f>
        <v>6.948571428571428</v>
      </c>
      <c r="C24" t="s">
        <v>10</v>
      </c>
      <c r="D24" s="2">
        <f>B24*1000/D18</f>
        <v>3.657142857142857</v>
      </c>
      <c r="E24" t="s">
        <v>15</v>
      </c>
      <c r="F24" s="3" t="s">
        <v>18</v>
      </c>
    </row>
    <row r="26" spans="1:9" ht="12.75">
      <c r="A26" t="s">
        <v>19</v>
      </c>
      <c r="D26" s="4">
        <f>'ox scavenge Main'!B15</f>
        <v>1</v>
      </c>
      <c r="E26" t="s">
        <v>20</v>
      </c>
      <c r="H26" s="2">
        <f>B24*1000/(B18/D26)</f>
        <v>13.897142857142857</v>
      </c>
      <c r="I26" t="s">
        <v>34</v>
      </c>
    </row>
    <row r="28" ht="12.75">
      <c r="A28" t="s">
        <v>31</v>
      </c>
    </row>
    <row r="30" spans="1:11" ht="12.75">
      <c r="A30" t="s">
        <v>21</v>
      </c>
      <c r="K30" s="11"/>
    </row>
  </sheetData>
  <sheetProtection/>
  <printOptions/>
  <pageMargins left="0.75" right="0.75" top="1" bottom="1" header="0.5" footer="0.5"/>
  <pageSetup fitToHeight="1" fitToWidth="1" horizontalDpi="600" verticalDpi="600" orientation="landscape" scale="8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0"/>
  <sheetViews>
    <sheetView zoomScale="125" zoomScaleNormal="125" zoomScalePageLayoutView="0" workbookViewId="0" topLeftCell="A1">
      <selection activeCell="D27" sqref="D27"/>
    </sheetView>
  </sheetViews>
  <sheetFormatPr defaultColWidth="8.8515625" defaultRowHeight="12.75"/>
  <cols>
    <col min="1" max="1" width="9.8515625" style="0" customWidth="1"/>
    <col min="2" max="6" width="8.8515625" style="0" customWidth="1"/>
    <col min="7" max="7" width="12.00390625" style="0" bestFit="1" customWidth="1"/>
    <col min="8" max="10" width="8.8515625" style="0" customWidth="1"/>
    <col min="11" max="11" width="9.8515625" style="0" customWidth="1"/>
    <col min="12" max="12" width="9.421875" style="0" customWidth="1"/>
  </cols>
  <sheetData>
    <row r="1" spans="1:11" ht="18">
      <c r="A1" s="22" t="s">
        <v>0</v>
      </c>
      <c r="F1" s="1"/>
      <c r="G1" s="7" t="s">
        <v>32</v>
      </c>
      <c r="K1" s="11" t="s">
        <v>42</v>
      </c>
    </row>
    <row r="2" spans="1:14" ht="15.75">
      <c r="A2" s="6"/>
      <c r="F2" s="2"/>
      <c r="G2" s="8" t="s">
        <v>33</v>
      </c>
      <c r="M2" t="s">
        <v>46</v>
      </c>
      <c r="N2" t="s">
        <v>47</v>
      </c>
    </row>
    <row r="3" spans="1:14" ht="15.75">
      <c r="A3" s="6"/>
      <c r="F3" s="15"/>
      <c r="G3" s="8" t="s">
        <v>69</v>
      </c>
      <c r="K3" t="s">
        <v>43</v>
      </c>
      <c r="L3" t="s">
        <v>44</v>
      </c>
      <c r="M3" t="s">
        <v>45</v>
      </c>
      <c r="N3" t="s">
        <v>45</v>
      </c>
    </row>
    <row r="4" spans="11:14" ht="12.75">
      <c r="K4" s="15">
        <v>5</v>
      </c>
      <c r="L4" s="9">
        <f aca="true" t="shared" si="0" ref="L4:L9">9/5*K4+32</f>
        <v>41</v>
      </c>
      <c r="M4" s="15">
        <v>12.7</v>
      </c>
      <c r="N4" s="15">
        <v>12.3</v>
      </c>
    </row>
    <row r="5" spans="11:14" ht="12.75">
      <c r="K5" s="15">
        <v>10</v>
      </c>
      <c r="L5" s="9">
        <f t="shared" si="0"/>
        <v>50</v>
      </c>
      <c r="M5" s="15">
        <v>11.3</v>
      </c>
      <c r="N5" s="15">
        <v>10.9</v>
      </c>
    </row>
    <row r="6" spans="1:14" ht="15.75">
      <c r="A6" t="s">
        <v>30</v>
      </c>
      <c r="D6">
        <v>678</v>
      </c>
      <c r="E6" t="s">
        <v>22</v>
      </c>
      <c r="F6">
        <v>5.67</v>
      </c>
      <c r="G6" t="s">
        <v>23</v>
      </c>
      <c r="K6" s="15">
        <v>15</v>
      </c>
      <c r="L6" s="9">
        <f t="shared" si="0"/>
        <v>59</v>
      </c>
      <c r="M6" s="15">
        <v>10.1</v>
      </c>
      <c r="N6" s="15">
        <v>9.7</v>
      </c>
    </row>
    <row r="7" spans="1:14" ht="15.75">
      <c r="A7" t="s">
        <v>29</v>
      </c>
      <c r="D7">
        <v>50</v>
      </c>
      <c r="E7" t="s">
        <v>22</v>
      </c>
      <c r="F7">
        <v>0.42</v>
      </c>
      <c r="G7" t="s">
        <v>23</v>
      </c>
      <c r="K7" s="15">
        <v>20</v>
      </c>
      <c r="L7" s="9">
        <f t="shared" si="0"/>
        <v>68</v>
      </c>
      <c r="M7" s="15">
        <v>9.1</v>
      </c>
      <c r="N7" s="15">
        <v>8.8</v>
      </c>
    </row>
    <row r="8" spans="1:14" ht="15.75">
      <c r="A8" s="6"/>
      <c r="F8" s="3"/>
      <c r="G8" s="8"/>
      <c r="K8" s="15">
        <v>25</v>
      </c>
      <c r="L8" s="9">
        <f t="shared" si="0"/>
        <v>77</v>
      </c>
      <c r="M8" s="15">
        <v>8.2</v>
      </c>
      <c r="N8" s="15">
        <v>8</v>
      </c>
    </row>
    <row r="9" spans="11:14" ht="12.75">
      <c r="K9" s="15">
        <v>30</v>
      </c>
      <c r="L9" s="9">
        <f t="shared" si="0"/>
        <v>86</v>
      </c>
      <c r="M9" s="15">
        <v>7.5</v>
      </c>
      <c r="N9" s="15">
        <v>7.3</v>
      </c>
    </row>
    <row r="10" spans="1:3" ht="12.75">
      <c r="A10" s="23" t="s">
        <v>1</v>
      </c>
      <c r="C10" t="s">
        <v>17</v>
      </c>
    </row>
    <row r="11" ht="15.75">
      <c r="A11" t="s">
        <v>152</v>
      </c>
    </row>
    <row r="12" ht="12.75">
      <c r="E12" t="s">
        <v>105</v>
      </c>
    </row>
    <row r="13" spans="1:8" ht="15.75">
      <c r="A13" t="s">
        <v>28</v>
      </c>
      <c r="B13">
        <v>126</v>
      </c>
      <c r="C13" t="s">
        <v>2</v>
      </c>
      <c r="E13" t="s">
        <v>120</v>
      </c>
      <c r="F13" t="s">
        <v>106</v>
      </c>
      <c r="G13">
        <f>14+2+35.5</f>
        <v>51.5</v>
      </c>
      <c r="H13" t="s">
        <v>2</v>
      </c>
    </row>
    <row r="14" spans="1:9" ht="15.75">
      <c r="A14" t="s">
        <v>109</v>
      </c>
      <c r="B14">
        <v>32</v>
      </c>
      <c r="C14" t="s">
        <v>2</v>
      </c>
      <c r="E14" t="s">
        <v>121</v>
      </c>
      <c r="F14" t="s">
        <v>107</v>
      </c>
      <c r="G14">
        <f>14+1+2*35.5</f>
        <v>86</v>
      </c>
      <c r="H14" t="s">
        <v>2</v>
      </c>
      <c r="I14" t="s">
        <v>123</v>
      </c>
    </row>
    <row r="15" spans="1:8" ht="15.75">
      <c r="A15" t="s">
        <v>110</v>
      </c>
      <c r="B15">
        <v>96</v>
      </c>
      <c r="C15" t="s">
        <v>2</v>
      </c>
      <c r="E15" t="s">
        <v>122</v>
      </c>
      <c r="F15" t="s">
        <v>108</v>
      </c>
      <c r="G15">
        <f>14+3*35.5</f>
        <v>120.5</v>
      </c>
      <c r="H15" t="s">
        <v>2</v>
      </c>
    </row>
    <row r="16" spans="1:8" ht="12.75">
      <c r="A16" t="s">
        <v>24</v>
      </c>
      <c r="B16">
        <v>55.847</v>
      </c>
      <c r="C16" t="s">
        <v>2</v>
      </c>
      <c r="F16" t="s">
        <v>114</v>
      </c>
      <c r="G16">
        <f>1+16+35.5</f>
        <v>52.5</v>
      </c>
      <c r="H16" t="s">
        <v>2</v>
      </c>
    </row>
    <row r="18" spans="1:11" ht="15.75">
      <c r="A18" t="s">
        <v>11</v>
      </c>
      <c r="B18" s="10">
        <f>'ox scavenge Main'!B11</f>
        <v>500</v>
      </c>
      <c r="C18" t="s">
        <v>5</v>
      </c>
      <c r="D18" s="9">
        <f>3.8*B18</f>
        <v>1900</v>
      </c>
      <c r="E18" t="s">
        <v>6</v>
      </c>
      <c r="F18" s="1">
        <f>'ox scavenge Main'!B14</f>
        <v>1</v>
      </c>
      <c r="G18" t="s">
        <v>111</v>
      </c>
      <c r="K18" s="26"/>
    </row>
    <row r="19" ht="12.75">
      <c r="K19" s="21"/>
    </row>
    <row r="20" spans="1:7" ht="15.75">
      <c r="A20" t="s">
        <v>12</v>
      </c>
      <c r="B20" s="2">
        <f>F18*D18</f>
        <v>1900</v>
      </c>
      <c r="C20" t="s">
        <v>112</v>
      </c>
      <c r="D20" s="2">
        <f>B20/1000</f>
        <v>1.9</v>
      </c>
      <c r="E20" t="s">
        <v>113</v>
      </c>
      <c r="F20" s="2">
        <f>D20/G13</f>
        <v>0.036893203883495145</v>
      </c>
      <c r="G20" t="s">
        <v>118</v>
      </c>
    </row>
    <row r="22" spans="1:12" ht="18">
      <c r="A22" t="s">
        <v>13</v>
      </c>
      <c r="B22" s="2">
        <f>F20</f>
        <v>0.036893203883495145</v>
      </c>
      <c r="C22" t="s">
        <v>7</v>
      </c>
      <c r="D22" s="2">
        <f>B22*B13</f>
        <v>4.648543689320388</v>
      </c>
      <c r="E22" t="s">
        <v>8</v>
      </c>
      <c r="F22" s="29">
        <f>2.2*D22/1000</f>
        <v>0.010226796116504856</v>
      </c>
      <c r="G22" s="6" t="s">
        <v>104</v>
      </c>
      <c r="I22" s="30">
        <f>B18</f>
        <v>500</v>
      </c>
      <c r="J22" s="27" t="s">
        <v>77</v>
      </c>
      <c r="L22" s="28"/>
    </row>
    <row r="24" spans="1:6" ht="12.75">
      <c r="A24" t="s">
        <v>14</v>
      </c>
      <c r="B24" s="2">
        <f>B22*B15</f>
        <v>3.5417475728155337</v>
      </c>
      <c r="C24" t="s">
        <v>10</v>
      </c>
      <c r="D24" s="2">
        <f>B24*1000/D18</f>
        <v>1.8640776699029125</v>
      </c>
      <c r="E24" t="s">
        <v>15</v>
      </c>
      <c r="F24" s="3" t="s">
        <v>18</v>
      </c>
    </row>
    <row r="26" spans="1:9" ht="12.75">
      <c r="A26" t="s">
        <v>19</v>
      </c>
      <c r="D26" s="4">
        <f>'ox scavenge Main'!B15</f>
        <v>1</v>
      </c>
      <c r="E26" t="s">
        <v>20</v>
      </c>
      <c r="H26" s="2">
        <f>B24*1000/(B18/D26)</f>
        <v>7.083495145631067</v>
      </c>
      <c r="I26" t="s">
        <v>34</v>
      </c>
    </row>
    <row r="28" ht="12.75">
      <c r="A28" t="s">
        <v>31</v>
      </c>
    </row>
    <row r="30" spans="1:11" ht="12.75">
      <c r="A30" t="s">
        <v>21</v>
      </c>
      <c r="K30" s="11"/>
    </row>
  </sheetData>
  <sheetProtection/>
  <printOptions/>
  <pageMargins left="0.75" right="0.75" top="1" bottom="1" header="0.5" footer="0.5"/>
  <pageSetup fitToHeight="1" fitToWidth="1" horizontalDpi="600" verticalDpi="600" orientation="landscape" scale="8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Redox Tech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 Rossabi</dc:creator>
  <cp:keywords/>
  <dc:description/>
  <cp:lastModifiedBy>Windows User</cp:lastModifiedBy>
  <cp:lastPrinted>2013-06-27T14:12:57Z</cp:lastPrinted>
  <dcterms:created xsi:type="dcterms:W3CDTF">2011-08-19T16:41:47Z</dcterms:created>
  <dcterms:modified xsi:type="dcterms:W3CDTF">2023-03-22T15:52:22Z</dcterms:modified>
  <cp:category/>
  <cp:version/>
  <cp:contentType/>
  <cp:contentStatus/>
</cp:coreProperties>
</file>